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charts/chart2.xml" ContentType="application/vnd.openxmlformats-officedocument.drawingml.chart+xml"/>
  <Override PartName="/xl/drawings/drawing3.xml" ContentType="application/vnd.openxmlformats-officedocument.drawingml.chartshapes+xml"/>
  <Override PartName="/xl/charts/chart3.xml" ContentType="application/vnd.openxmlformats-officedocument.drawingml.chart+xml"/>
  <Override PartName="/xl/drawings/drawing4.xml" ContentType="application/vnd.openxmlformats-officedocument.drawingml.chartshapes+xml"/>
  <Override PartName="/xl/charts/chart4.xml" ContentType="application/vnd.openxmlformats-officedocument.drawingml.chart+xml"/>
  <Override PartName="/xl/drawings/drawing5.xml" ContentType="application/vnd.openxmlformats-officedocument.drawingml.chartshapes+xml"/>
  <Override PartName="/xl/charts/chart5.xml" ContentType="application/vnd.openxmlformats-officedocument.drawingml.chart+xml"/>
  <Override PartName="/xl/drawings/drawing6.xml" ContentType="application/vnd.openxmlformats-officedocument.drawingml.chartshapes+xml"/>
  <Override PartName="/xl/charts/chart6.xml" ContentType="application/vnd.openxmlformats-officedocument.drawingml.chart+xml"/>
  <Override PartName="/xl/drawings/drawing7.xml" ContentType="application/vnd.openxmlformats-officedocument.drawingml.chartshapes+xml"/>
  <Override PartName="/xl/charts/chart7.xml" ContentType="application/vnd.openxmlformats-officedocument.drawingml.chart+xml"/>
  <Override PartName="/xl/charts/style1.xml" ContentType="application/vnd.ms-office.chartstyle+xml"/>
  <Override PartName="/xl/charts/colors1.xml" ContentType="application/vnd.ms-office.chartcolorstyle+xml"/>
  <Override PartName="/xl/charts/chart8.xml" ContentType="application/vnd.openxmlformats-officedocument.drawingml.chart+xml"/>
  <Override PartName="/xl/charts/style2.xml" ContentType="application/vnd.ms-office.chartstyle+xml"/>
  <Override PartName="/xl/charts/colors2.xml" ContentType="application/vnd.ms-office.chartcolorstyle+xml"/>
  <Override PartName="/xl/queryTables/queryTable1.xml" ContentType="application/vnd.openxmlformats-officedocument.spreadsheetml.queryTable+xml"/>
  <Override PartName="/xl/drawings/drawing8.xml" ContentType="application/vnd.openxmlformats-officedocument.drawing+xml"/>
  <Override PartName="/xl/queryTables/queryTable2.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xl/queryTables/queryTable5.xml" ContentType="application/vnd.openxmlformats-officedocument.spreadsheetml.queryTable+xml"/>
  <Override PartName="/xl/comments2.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defaultThemeVersion="124226"/>
  <mc:AlternateContent xmlns:mc="http://schemas.openxmlformats.org/markup-compatibility/2006">
    <mc:Choice Requires="x15">
      <x15ac:absPath xmlns:x15ac="http://schemas.microsoft.com/office/spreadsheetml/2010/11/ac" url="\\svka.vdi.pref.nagano.lg.jp\課共有\水大気環境課\04水源水道係\05調査・統計\01国依頼調査\水道統計調査\02　長野県の水道\R2(R2.4.1～R3.3.31)\★令和2年度長野県の水道\"/>
    </mc:Choice>
  </mc:AlternateContent>
  <xr:revisionPtr revIDLastSave="0" documentId="13_ncr:1_{B8EC7DC9-AAB8-456D-9C78-B657C9310314}" xr6:coauthVersionLast="47" xr6:coauthVersionMax="47" xr10:uidLastSave="{00000000-0000-0000-0000-000000000000}"/>
  <bookViews>
    <workbookView xWindow="-110" yWindow="-110" windowWidth="19420" windowHeight="10420" xr2:uid="{00000000-000D-0000-FFFF-FFFF00000000}"/>
  </bookViews>
  <sheets>
    <sheet name="目次" sheetId="48" r:id="rId1"/>
    <sheet name="00" sheetId="57" r:id="rId2"/>
    <sheet name="01" sheetId="58" r:id="rId3"/>
    <sheet name="02" sheetId="59" r:id="rId4"/>
    <sheet name="03" sheetId="60" r:id="rId5"/>
    <sheet name="04" sheetId="61" r:id="rId6"/>
    <sheet name="05" sheetId="62" r:id="rId7"/>
    <sheet name="06" sheetId="63" r:id="rId8"/>
    <sheet name="07" sheetId="64" r:id="rId9"/>
    <sheet name="08" sheetId="65" r:id="rId10"/>
    <sheet name="09" sheetId="66" r:id="rId11"/>
    <sheet name="10" sheetId="67" r:id="rId12"/>
    <sheet name="11" sheetId="68" r:id="rId13"/>
    <sheet name="12" sheetId="69" r:id="rId14"/>
    <sheet name="13" sheetId="70" r:id="rId15"/>
    <sheet name="14" sheetId="71" r:id="rId16"/>
    <sheet name="15" sheetId="72" r:id="rId17"/>
    <sheet name="16" sheetId="73" r:id="rId18"/>
    <sheet name="17" sheetId="74" r:id="rId19"/>
    <sheet name="18" sheetId="75" r:id="rId20"/>
    <sheet name="19" sheetId="76" r:id="rId21"/>
    <sheet name="20" sheetId="77" r:id="rId22"/>
    <sheet name="21" sheetId="78" r:id="rId23"/>
    <sheet name="22" sheetId="79" r:id="rId24"/>
    <sheet name="23" sheetId="80" r:id="rId25"/>
    <sheet name="24" sheetId="81" r:id="rId26"/>
    <sheet name="25" sheetId="82" r:id="rId27"/>
    <sheet name="26" sheetId="83" r:id="rId28"/>
    <sheet name="27" sheetId="84" r:id="rId29"/>
    <sheet name="28" sheetId="85" r:id="rId30"/>
    <sheet name="29" sheetId="86" r:id="rId31"/>
    <sheet name="30" sheetId="87" r:id="rId32"/>
    <sheet name="31" sheetId="88" r:id="rId33"/>
    <sheet name="32" sheetId="40" r:id="rId34"/>
    <sheet name="33" sheetId="90" r:id="rId35"/>
    <sheet name="34" sheetId="91" r:id="rId36"/>
    <sheet name="35" sheetId="92" r:id="rId37"/>
    <sheet name="36" sheetId="93" r:id="rId38"/>
    <sheet name="37" sheetId="94" r:id="rId39"/>
    <sheet name="38-1" sheetId="95" r:id="rId40"/>
    <sheet name="38-2" sheetId="96" r:id="rId41"/>
    <sheet name="38-3" sheetId="97" r:id="rId42"/>
    <sheet name="数・人口" sheetId="6" state="hidden" r:id="rId43"/>
    <sheet name="給水" sheetId="7" state="hidden" r:id="rId44"/>
    <sheet name="取水" sheetId="8" state="hidden" r:id="rId45"/>
    <sheet name="浄水" sheetId="9" state="hidden" r:id="rId46"/>
    <sheet name="管種" sheetId="10" state="hidden" r:id="rId47"/>
  </sheets>
  <externalReferences>
    <externalReference r:id="rId48"/>
    <externalReference r:id="rId49"/>
    <externalReference r:id="rId50"/>
    <externalReference r:id="rId51"/>
    <externalReference r:id="rId52"/>
    <externalReference r:id="rId53"/>
    <externalReference r:id="rId54"/>
  </externalReferences>
  <definedNames>
    <definedName name="_xlnm._FilterDatabase" localSheetId="5" hidden="1">'04'!$A$4:$Q$4</definedName>
    <definedName name="_xlnm._FilterDatabase" localSheetId="6" hidden="1">'05'!$A$8:$AB$41</definedName>
    <definedName name="_xlnm._FilterDatabase" localSheetId="7" hidden="1">'06'!$A$8:$AD$195</definedName>
    <definedName name="_xlnm._FilterDatabase" localSheetId="12" hidden="1">'11'!$A$6:$Y$80</definedName>
    <definedName name="_xlnm._FilterDatabase" localSheetId="14" hidden="1">'13'!$A$5:$AD$88</definedName>
    <definedName name="_xlnm._FilterDatabase" localSheetId="15" hidden="1">'14'!$A$6:$WVT$6</definedName>
    <definedName name="_xlnm._FilterDatabase" localSheetId="16" hidden="1">'15'!$A$4:$Q$61</definedName>
    <definedName name="_xlnm._FilterDatabase" localSheetId="17" hidden="1">'16'!$B$44:$AC$49</definedName>
    <definedName name="_xlnm._FilterDatabase" localSheetId="20" hidden="1">'19'!$A$7:$AC$89</definedName>
    <definedName name="_xlnm._FilterDatabase" localSheetId="21" hidden="1">'20'!$A$76:$BV$76</definedName>
    <definedName name="_xlnm._FilterDatabase" localSheetId="22" hidden="1">'21'!$A$6:$AB$151</definedName>
    <definedName name="_xlnm._FilterDatabase" localSheetId="23" hidden="1">'22'!$A$6:$R$149</definedName>
    <definedName name="_xlnm._FilterDatabase" localSheetId="24" hidden="1">'23'!$A$6:$AD$151</definedName>
    <definedName name="_xlnm._FilterDatabase" localSheetId="25" hidden="1">'24'!$A$3:$N$74</definedName>
    <definedName name="_xlnm._FilterDatabase" localSheetId="27" hidden="1">'26'!#REF!</definedName>
    <definedName name="_xlnm._FilterDatabase" localSheetId="33" hidden="1">'32'!$A$6:$AH$79</definedName>
    <definedName name="\0" localSheetId="4">#REF!</definedName>
    <definedName name="\0" localSheetId="5">#REF!</definedName>
    <definedName name="\0">#REF!</definedName>
    <definedName name="\a" localSheetId="4">#REF!</definedName>
    <definedName name="\a" localSheetId="5">#REF!</definedName>
    <definedName name="\a">#REF!</definedName>
    <definedName name="\h" localSheetId="4">#REF!</definedName>
    <definedName name="\h" localSheetId="5">#REF!</definedName>
    <definedName name="\h">#REF!</definedName>
    <definedName name="\p" localSheetId="4">#REF!</definedName>
    <definedName name="\p" localSheetId="5">#REF!</definedName>
    <definedName name="\p">#REF!</definedName>
    <definedName name="\s" localSheetId="4">#REF!</definedName>
    <definedName name="\s" localSheetId="5">#REF!</definedName>
    <definedName name="\s">#REF!</definedName>
    <definedName name="\u" localSheetId="4">#REF!</definedName>
    <definedName name="\u" localSheetId="5">#REF!</definedName>
    <definedName name="\u">#REF!</definedName>
    <definedName name="_xlnm.Criteria" localSheetId="6">'05'!$A$9:$AB$11</definedName>
    <definedName name="_xlnm.Criteria" localSheetId="7">'06'!$A$9:$AC$30</definedName>
    <definedName name="_xlnm.Criteria">#REF!</definedName>
    <definedName name="d">#REF!</definedName>
    <definedName name="_xlnm.Database" localSheetId="6">'05'!$A$9:$AB$11</definedName>
    <definedName name="_xlnm.Database" localSheetId="7">'06'!$A$9:$AC$30</definedName>
    <definedName name="_xlnm.Database">#REF!</definedName>
    <definedName name="Export" localSheetId="9">'08'!#REF!</definedName>
    <definedName name="Export" localSheetId="10">'09'!#REF!</definedName>
    <definedName name="Export" localSheetId="11">'10'!#REF!</definedName>
    <definedName name="Export" localSheetId="12">'11'!$A$6:$D$84</definedName>
    <definedName name="Export" localSheetId="21">'20'!$A$6:$C$81</definedName>
    <definedName name="Export_1" localSheetId="21">'20'!#REF!</definedName>
    <definedName name="Export_2" localSheetId="21">'20'!#REF!</definedName>
    <definedName name="Export_3" localSheetId="21">'20'!#REF!</definedName>
    <definedName name="Export_4" localSheetId="21">'20'!#REF!</definedName>
    <definedName name="Export_5" localSheetId="21">'20'!$U$6:$W$81</definedName>
    <definedName name="Export_6" localSheetId="21">'20'!$AO$6:$AQ$81</definedName>
    <definedName name="Export_7" localSheetId="21">'20'!$BI$6:$BK$81</definedName>
    <definedName name="_xlnm.Extract" localSheetId="6">'05'!#REF!</definedName>
    <definedName name="_xlnm.Extract" localSheetId="7">'06'!#REF!</definedName>
    <definedName name="_xlnm.Extract">#REF!</definedName>
    <definedName name="f">#REF!</definedName>
    <definedName name="g">[1]現在・計画給水人口!#REF!</definedName>
    <definedName name="MENU" localSheetId="4">[1]現在・計画給水人口!#REF!</definedName>
    <definedName name="MENU" localSheetId="5">[1]現在・計画給水人口!#REF!</definedName>
    <definedName name="MENU">[1]現在・計画給水人口!#REF!</definedName>
    <definedName name="MES_HOGO" localSheetId="4">#REF!</definedName>
    <definedName name="MES_HOGO" localSheetId="5">#REF!</definedName>
    <definedName name="MES_HOGO">#REF!</definedName>
    <definedName name="MES_KAIJO" localSheetId="4">#REF!</definedName>
    <definedName name="MES_KAIJO" localSheetId="5">#REF!</definedName>
    <definedName name="MES_KAIJO">#REF!</definedName>
    <definedName name="MESSAGE" localSheetId="4">[2]現在・計画給水人口!#REF!</definedName>
    <definedName name="MESSAGE" localSheetId="5">[2]現在・計画給水人口!#REF!</definedName>
    <definedName name="MESSAGE">[2]現在・計画給水人口!#REF!</definedName>
    <definedName name="_xlnm.Print_Area" localSheetId="1">'00'!$A$1:$K$99</definedName>
    <definedName name="_xlnm.Print_Area" localSheetId="2">'01'!$A$1:$J$75</definedName>
    <definedName name="_xlnm.Print_Area" localSheetId="3">'02'!$A$1:$I$177</definedName>
    <definedName name="_xlnm.Print_Area" localSheetId="4">'03'!$A$1:$O$58</definedName>
    <definedName name="_xlnm.Print_Area" localSheetId="5">'04'!$A$1:$Q$53</definedName>
    <definedName name="_xlnm.Print_Area" localSheetId="6">'05'!$A$1:$AB$45</definedName>
    <definedName name="_xlnm.Print_Area" localSheetId="7">'06'!$A$1:$AC$195</definedName>
    <definedName name="_xlnm.Print_Area" localSheetId="8">'07'!$A$1:$V$58</definedName>
    <definedName name="_xlnm.Print_Area" localSheetId="9">'08'!$A$1:$J$27</definedName>
    <definedName name="_xlnm.Print_Area" localSheetId="11">'10'!$A$1:$M$37</definedName>
    <definedName name="_xlnm.Print_Area" localSheetId="12">'11'!$A$1:$H$80</definedName>
    <definedName name="_xlnm.Print_Area" localSheetId="13">'12'!$A$1:$AA$96</definedName>
    <definedName name="_xlnm.Print_Area" localSheetId="14">'13'!$A$1:$AD$87</definedName>
    <definedName name="_xlnm.Print_Area" localSheetId="15">'14'!$A$1:$M$49</definedName>
    <definedName name="_xlnm.Print_Area" localSheetId="16">'15'!$A$1:$Q$61</definedName>
    <definedName name="_xlnm.Print_Area" localSheetId="17">'16'!$A$1:$AD$88</definedName>
    <definedName name="_xlnm.Print_Area" localSheetId="18">'17'!$A$1:$AK$89</definedName>
    <definedName name="_xlnm.Print_Area" localSheetId="19">'18'!$A$1:$L$86</definedName>
    <definedName name="_xlnm.Print_Area" localSheetId="20">'19'!$A$1:$AC$89</definedName>
    <definedName name="_xlnm.Print_Area" localSheetId="21">'20'!$A$1:$BV$80</definedName>
    <definedName name="_xlnm.Print_Area" localSheetId="22">'21'!$A$1:$AB$151</definedName>
    <definedName name="_xlnm.Print_Area" localSheetId="23">'22'!$A$1:$AB$151</definedName>
    <definedName name="_xlnm.Print_Area" localSheetId="24">'23'!$A$1:$AD$151</definedName>
    <definedName name="_xlnm.Print_Area" localSheetId="25">'24'!$A$1:$N$75</definedName>
    <definedName name="_xlnm.Print_Area" localSheetId="26">'25'!$B$1:$L$48</definedName>
    <definedName name="_xlnm.Print_Area" localSheetId="27">'26'!$A$1:$Q$61</definedName>
    <definedName name="_xlnm.Print_Area" localSheetId="28">'27'!$A$1:$G$14</definedName>
    <definedName name="_xlnm.Print_Area" localSheetId="29">'28'!$A$1:$Y$52</definedName>
    <definedName name="_xlnm.Print_Area" localSheetId="32">'31'!$A$1:$F$18</definedName>
    <definedName name="_xlnm.Print_Area" localSheetId="33">'32'!$A$1:$AF$79</definedName>
    <definedName name="_xlnm.Print_Area" localSheetId="34">'33'!$A$1:$F$19</definedName>
    <definedName name="_xlnm.Print_Area" localSheetId="35">'34'!$A$1:$O$76</definedName>
    <definedName name="_xlnm.Print_Area" localSheetId="36">'35'!$A$1:$G$59</definedName>
    <definedName name="_xlnm.Print_Area" localSheetId="39">'38-1'!$A$1:$F$41</definedName>
    <definedName name="_xlnm.Print_Area" localSheetId="40">'38-2'!$A$1:$F$85</definedName>
    <definedName name="_xlnm.Print_Area" localSheetId="41">'38-3'!$A$1:$G$218</definedName>
    <definedName name="_xlnm.Print_Titles" localSheetId="6">'05'!$3:$8</definedName>
    <definedName name="_xlnm.Print_Titles" localSheetId="7">'06'!$1:$8</definedName>
    <definedName name="_xlnm.Print_Titles" localSheetId="13">'12'!$1:$4</definedName>
    <definedName name="_xlnm.Print_Titles" localSheetId="14">'13'!$1:$5</definedName>
    <definedName name="_xlnm.Print_Titles" localSheetId="15">'14'!$1:$6</definedName>
    <definedName name="_xlnm.Print_Titles" localSheetId="16">'15'!$1:$4</definedName>
    <definedName name="_xlnm.Print_Titles" localSheetId="17">'16'!$1:$6</definedName>
    <definedName name="_xlnm.Print_Titles" localSheetId="18">'17'!$1:$7</definedName>
    <definedName name="_xlnm.Print_Titles" localSheetId="19">'18'!$1:$4</definedName>
    <definedName name="_xlnm.Print_Titles" localSheetId="20">'19'!$2:$7</definedName>
    <definedName name="_xlnm.Print_Titles" localSheetId="22">'21'!$1:$6</definedName>
    <definedName name="_xlnm.Print_Titles" localSheetId="23">'22'!$1:$6</definedName>
    <definedName name="_xlnm.Print_Titles" localSheetId="24">'23'!$1:$6</definedName>
    <definedName name="_xlnm.Print_Titles" localSheetId="25">'24'!$2:$4</definedName>
    <definedName name="_xlnm.Print_Titles" localSheetId="36">'35'!$2:$2</definedName>
    <definedName name="_xlnm.Print_Titles" localSheetId="40">'38-2'!$3:$3</definedName>
    <definedName name="_xlnm.Print_Titles" localSheetId="41">'38-3'!$3:$3</definedName>
    <definedName name="ﾀｲﾄﾙ行" localSheetId="6">'05'!$A$3:$AB$8</definedName>
    <definedName name="ﾀｲﾄﾙ行" localSheetId="7">'06'!$A$3:$AC$8</definedName>
    <definedName name="ﾀｲﾄﾙ行" localSheetId="27">'26'!$A$4:$AT$7</definedName>
    <definedName name="ﾀｲﾄﾙ行">#REF!</definedName>
    <definedName name="ﾀｲﾄﾙ行給水状況１" localSheetId="6">#REF!</definedName>
    <definedName name="ﾀｲﾄﾙ行給水状況１" localSheetId="7">#REF!</definedName>
    <definedName name="ﾀｲﾄﾙ行給水状況１">#REF!</definedName>
    <definedName name="ﾀｲﾄﾙ行給水状況２" localSheetId="6">#REF!</definedName>
    <definedName name="ﾀｲﾄﾙ行給水状況２" localSheetId="7">#REF!</definedName>
    <definedName name="ﾀｲﾄﾙ行給水状況２">#REF!</definedName>
    <definedName name="ﾀｲﾄﾙ行取水量１" localSheetId="6">#REF!</definedName>
    <definedName name="ﾀｲﾄﾙ行取水量１" localSheetId="7">#REF!</definedName>
    <definedName name="ﾀｲﾄﾙ行取水量１">#REF!</definedName>
    <definedName name="ﾀｲﾄﾙ行取水量２" localSheetId="6">#REF!</definedName>
    <definedName name="ﾀｲﾄﾙ行取水量２" localSheetId="7">#REF!</definedName>
    <definedName name="ﾀｲﾄﾙ行取水量２">#REF!</definedName>
    <definedName name="ﾀｲﾄﾙ列" localSheetId="6">#REF!</definedName>
    <definedName name="ﾀｲﾄﾙ列" localSheetId="7">#REF!</definedName>
    <definedName name="ﾀｲﾄﾙ列">#REF!</definedName>
    <definedName name="ﾀｲﾄﾙ列財務" localSheetId="6">#REF!</definedName>
    <definedName name="ﾀｲﾄﾙ列財務" localSheetId="7">#REF!</definedName>
    <definedName name="ﾀｲﾄﾙ列財務">#REF!</definedName>
    <definedName name="ﾀｲﾄﾙ列上水" localSheetId="6">#REF!</definedName>
    <definedName name="ﾀｲﾄﾙ列上水" localSheetId="7">#REF!</definedName>
    <definedName name="ﾀｲﾄﾙ列上水">#REF!</definedName>
    <definedName name="印刷Ｐ１＿ﾀｲﾄﾙ列なし" localSheetId="6">#REF!</definedName>
    <definedName name="印刷Ｐ１＿ﾀｲﾄﾙ列なし" localSheetId="7">#REF!</definedName>
    <definedName name="印刷Ｐ１＿ﾀｲﾄﾙ列なし">#REF!</definedName>
    <definedName name="印刷Ｐ２" localSheetId="6">#REF!</definedName>
    <definedName name="印刷Ｐ２" localSheetId="7">#REF!</definedName>
    <definedName name="印刷Ｐ２">#REF!</definedName>
    <definedName name="印刷Ｐ３" localSheetId="6">#REF!</definedName>
    <definedName name="印刷Ｐ３" localSheetId="7">#REF!</definedName>
    <definedName name="印刷Ｐ３">#REF!</definedName>
    <definedName name="印刷Ｐ４" localSheetId="6">#REF!</definedName>
    <definedName name="印刷Ｐ４" localSheetId="7">#REF!</definedName>
    <definedName name="印刷Ｐ４">#REF!</definedName>
    <definedName name="印刷Ｐ５" localSheetId="6">#REF!</definedName>
    <definedName name="印刷Ｐ５" localSheetId="7">#REF!</definedName>
    <definedName name="印刷Ｐ５">#REF!</definedName>
    <definedName name="印刷Ｐ６" localSheetId="6">#REF!</definedName>
    <definedName name="印刷Ｐ６" localSheetId="7">#REF!</definedName>
    <definedName name="印刷Ｐ６">#REF!</definedName>
    <definedName name="印刷Ｐ７" localSheetId="6">#REF!</definedName>
    <definedName name="印刷Ｐ７" localSheetId="7">#REF!</definedName>
    <definedName name="印刷Ｐ７">#REF!</definedName>
    <definedName name="印刷Ｐ８" localSheetId="6">#REF!</definedName>
    <definedName name="印刷Ｐ８" localSheetId="7">#REF!</definedName>
    <definedName name="印刷Ｐ８">#REF!</definedName>
    <definedName name="印刷給水状況１" localSheetId="6">#REF!</definedName>
    <definedName name="印刷給水状況１" localSheetId="7">#REF!</definedName>
    <definedName name="印刷給水状況１">#REF!</definedName>
    <definedName name="印刷給水状況２" localSheetId="6">#REF!</definedName>
    <definedName name="印刷給水状況２" localSheetId="7">#REF!</definedName>
    <definedName name="印刷給水状況２">#REF!</definedName>
    <definedName name="印刷取水量１" localSheetId="6">#REF!</definedName>
    <definedName name="印刷取水量１" localSheetId="7">#REF!</definedName>
    <definedName name="印刷取水量１">#REF!</definedName>
    <definedName name="印刷取水量２" localSheetId="6">#REF!</definedName>
    <definedName name="印刷取水量２" localSheetId="7">#REF!</definedName>
    <definedName name="印刷取水量２">#REF!</definedName>
    <definedName name="印刷範囲" localSheetId="4">'03'!$A$1:$N$33</definedName>
    <definedName name="印刷範囲" localSheetId="5">'04'!$B$3:$H$57</definedName>
    <definedName name="印刷範囲" localSheetId="6">'05'!$A$9:$AB$45</definedName>
    <definedName name="印刷範囲" localSheetId="7">'06'!$A$9:$AC$34</definedName>
    <definedName name="印刷範囲" localSheetId="8">'07'!$A$1:$AI$34</definedName>
    <definedName name="印刷範囲" localSheetId="27">'26'!$A$14:$AT$76</definedName>
    <definedName name="印刷範囲" localSheetId="29">'28'!$B$3:$Y$30</definedName>
    <definedName name="印刷範囲" localSheetId="30">'29'!$A$3:$S$27</definedName>
    <definedName name="印刷範囲">#REF!</definedName>
    <definedName name="入力範囲" localSheetId="4">#REF!</definedName>
    <definedName name="入力範囲" localSheetId="5">#REF!</definedName>
    <definedName name="入力範囲">#REF!</definedName>
    <definedName name="年度" localSheetId="4">#REF!</definedName>
    <definedName name="年度" localSheetId="5">#REF!</definedName>
    <definedName name="年度">#REF!</definedName>
    <definedName name="並び替え" localSheetId="6">'05'!$A$9:$AB$11</definedName>
    <definedName name="並び替え" localSheetId="7">'06'!$A$9:$AC$32</definedName>
    <definedName name="並び替え">#REF!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7" i="94" l="1"/>
  <c r="D54" i="93"/>
  <c r="F19" i="90"/>
  <c r="D19" i="90"/>
  <c r="F18" i="90"/>
  <c r="D18" i="90"/>
  <c r="E15" i="90"/>
  <c r="F15" i="90" s="1"/>
  <c r="C15" i="90"/>
  <c r="D15" i="90" s="1"/>
  <c r="B15" i="90"/>
  <c r="F14" i="90"/>
  <c r="D14" i="90"/>
  <c r="F13" i="90"/>
  <c r="D13" i="90"/>
  <c r="F12" i="90"/>
  <c r="D12" i="90"/>
  <c r="F11" i="90"/>
  <c r="D11" i="90"/>
  <c r="F10" i="90"/>
  <c r="D10" i="90"/>
  <c r="F9" i="90"/>
  <c r="D9" i="90"/>
  <c r="F8" i="90"/>
  <c r="D8" i="90"/>
  <c r="F7" i="90"/>
  <c r="D7" i="90"/>
  <c r="F6" i="90"/>
  <c r="D6" i="90"/>
  <c r="F5" i="90"/>
  <c r="D5" i="90"/>
  <c r="Q20" i="86" l="1"/>
  <c r="Q19" i="86"/>
  <c r="Q14" i="86"/>
  <c r="Q13" i="86"/>
  <c r="Q12" i="86"/>
  <c r="Q11" i="86"/>
  <c r="Q10" i="86"/>
  <c r="Q7" i="86"/>
  <c r="Y52" i="85"/>
  <c r="X52" i="85"/>
  <c r="W52" i="85"/>
  <c r="V52" i="85"/>
  <c r="Y51" i="85"/>
  <c r="X51" i="85"/>
  <c r="W51" i="85"/>
  <c r="V51" i="85"/>
  <c r="Y50" i="85"/>
  <c r="X50" i="85"/>
  <c r="W50" i="85"/>
  <c r="V50" i="85"/>
  <c r="Y49" i="85"/>
  <c r="X49" i="85"/>
  <c r="W49" i="85"/>
  <c r="V49" i="85"/>
  <c r="Y48" i="85"/>
  <c r="X48" i="85"/>
  <c r="W48" i="85"/>
  <c r="V48" i="85"/>
  <c r="W47" i="85"/>
  <c r="V47" i="85"/>
  <c r="I47" i="85"/>
  <c r="Y47" i="85" s="1"/>
  <c r="H47" i="85"/>
  <c r="X47" i="85" s="1"/>
  <c r="Y46" i="85"/>
  <c r="X46" i="85"/>
  <c r="W46" i="85"/>
  <c r="V46" i="85"/>
  <c r="W45" i="85"/>
  <c r="V45" i="85"/>
  <c r="I45" i="85"/>
  <c r="Y45" i="85" s="1"/>
  <c r="H45" i="85"/>
  <c r="X45" i="85" s="1"/>
  <c r="Y44" i="85"/>
  <c r="X44" i="85"/>
  <c r="W44" i="85"/>
  <c r="V44" i="85"/>
  <c r="Y43" i="85"/>
  <c r="X43" i="85"/>
  <c r="W43" i="85"/>
  <c r="V43" i="85"/>
  <c r="Y42" i="85"/>
  <c r="X42" i="85"/>
  <c r="W42" i="85"/>
  <c r="V42" i="85"/>
  <c r="Y41" i="85"/>
  <c r="X41" i="85"/>
  <c r="W41" i="85"/>
  <c r="V41" i="85"/>
  <c r="Y40" i="85"/>
  <c r="X40" i="85"/>
  <c r="W40" i="85"/>
  <c r="V40" i="85"/>
  <c r="Y39" i="85"/>
  <c r="X39" i="85"/>
  <c r="W39" i="85"/>
  <c r="V39" i="85"/>
  <c r="Y38" i="85"/>
  <c r="X38" i="85"/>
  <c r="W38" i="85"/>
  <c r="V38" i="85"/>
  <c r="Y37" i="85"/>
  <c r="X37" i="85"/>
  <c r="W37" i="85"/>
  <c r="V37" i="85"/>
  <c r="Y36" i="85"/>
  <c r="X36" i="85"/>
  <c r="W36" i="85"/>
  <c r="V36" i="85"/>
  <c r="Y35" i="85"/>
  <c r="X35" i="85"/>
  <c r="W35" i="85"/>
  <c r="V35" i="85"/>
  <c r="Y34" i="85"/>
  <c r="X34" i="85"/>
  <c r="W34" i="85"/>
  <c r="V34" i="85"/>
  <c r="Y33" i="85"/>
  <c r="X33" i="85"/>
  <c r="W33" i="85"/>
  <c r="V33" i="85"/>
  <c r="Y32" i="85"/>
  <c r="X32" i="85"/>
  <c r="W32" i="85"/>
  <c r="V32" i="85"/>
  <c r="Y31" i="85"/>
  <c r="X31" i="85"/>
  <c r="W31" i="85"/>
  <c r="V31" i="85"/>
  <c r="Y30" i="85"/>
  <c r="X30" i="85"/>
  <c r="W30" i="85"/>
  <c r="V30" i="85"/>
  <c r="Y29" i="85"/>
  <c r="X29" i="85"/>
  <c r="W29" i="85"/>
  <c r="V29" i="85"/>
  <c r="Y28" i="85"/>
  <c r="X28" i="85"/>
  <c r="W28" i="85"/>
  <c r="V28" i="85"/>
  <c r="Y27" i="85"/>
  <c r="X27" i="85"/>
  <c r="W27" i="85"/>
  <c r="V27" i="85"/>
  <c r="Y26" i="85"/>
  <c r="X26" i="85"/>
  <c r="W26" i="85"/>
  <c r="V26" i="85"/>
  <c r="Y25" i="85"/>
  <c r="X25" i="85"/>
  <c r="W25" i="85"/>
  <c r="V25" i="85"/>
  <c r="Y24" i="85"/>
  <c r="X24" i="85"/>
  <c r="W24" i="85"/>
  <c r="V24" i="85"/>
  <c r="Y23" i="85"/>
  <c r="X23" i="85"/>
  <c r="W23" i="85"/>
  <c r="V23" i="85"/>
  <c r="Y22" i="85"/>
  <c r="X22" i="85"/>
  <c r="W22" i="85"/>
  <c r="V22" i="85"/>
  <c r="Y21" i="85"/>
  <c r="X21" i="85"/>
  <c r="W21" i="85"/>
  <c r="V21" i="85"/>
  <c r="Y20" i="85"/>
  <c r="X20" i="85"/>
  <c r="W20" i="85"/>
  <c r="V20" i="85"/>
  <c r="Y19" i="85"/>
  <c r="X19" i="85"/>
  <c r="W19" i="85"/>
  <c r="V19" i="85"/>
  <c r="Y18" i="85"/>
  <c r="X18" i="85"/>
  <c r="W18" i="85"/>
  <c r="V18" i="85"/>
  <c r="Y17" i="85"/>
  <c r="X17" i="85"/>
  <c r="W17" i="85"/>
  <c r="V17" i="85"/>
  <c r="Y16" i="85"/>
  <c r="X16" i="85"/>
  <c r="W16" i="85"/>
  <c r="V16" i="85"/>
  <c r="Y15" i="85"/>
  <c r="X15" i="85"/>
  <c r="W15" i="85"/>
  <c r="V15" i="85"/>
  <c r="Y14" i="85"/>
  <c r="X14" i="85"/>
  <c r="W14" i="85"/>
  <c r="V14" i="85"/>
  <c r="Y13" i="85"/>
  <c r="X13" i="85"/>
  <c r="W13" i="85"/>
  <c r="V13" i="85"/>
  <c r="Y12" i="85"/>
  <c r="X12" i="85"/>
  <c r="W12" i="85"/>
  <c r="V12" i="85"/>
  <c r="Y11" i="85"/>
  <c r="X11" i="85"/>
  <c r="W11" i="85"/>
  <c r="V11" i="85"/>
  <c r="Y10" i="85"/>
  <c r="X10" i="85"/>
  <c r="W10" i="85"/>
  <c r="V10" i="85"/>
  <c r="Y9" i="85"/>
  <c r="X9" i="85"/>
  <c r="W9" i="85"/>
  <c r="V9" i="85"/>
  <c r="Y8" i="85"/>
  <c r="X8" i="85"/>
  <c r="W8" i="85"/>
  <c r="V8" i="85"/>
  <c r="Y7" i="85"/>
  <c r="X7" i="85"/>
  <c r="W7" i="85"/>
  <c r="V7" i="85"/>
  <c r="I61" i="83"/>
  <c r="H61" i="83"/>
  <c r="G61" i="83"/>
  <c r="F61" i="83"/>
  <c r="I60" i="83"/>
  <c r="H60" i="83"/>
  <c r="G60" i="83"/>
  <c r="F60" i="83"/>
  <c r="I59" i="83"/>
  <c r="H59" i="83"/>
  <c r="G59" i="83"/>
  <c r="F59" i="83"/>
  <c r="I58" i="83"/>
  <c r="H58" i="83"/>
  <c r="G58" i="83"/>
  <c r="F58" i="83"/>
  <c r="I57" i="83"/>
  <c r="H57" i="83"/>
  <c r="G57" i="83"/>
  <c r="F57" i="83"/>
  <c r="I56" i="83"/>
  <c r="H56" i="83"/>
  <c r="G56" i="83"/>
  <c r="F56" i="83"/>
  <c r="O49" i="83"/>
  <c r="N49" i="83"/>
  <c r="M49" i="83"/>
  <c r="Q49" i="83" s="1"/>
  <c r="L49" i="83"/>
  <c r="P49" i="83" s="1"/>
  <c r="Q48" i="83"/>
  <c r="P48" i="83"/>
  <c r="O48" i="83"/>
  <c r="N48" i="83"/>
  <c r="Q47" i="83"/>
  <c r="P47" i="83"/>
  <c r="O47" i="83"/>
  <c r="N47" i="83"/>
  <c r="Q46" i="83"/>
  <c r="P46" i="83"/>
  <c r="O46" i="83"/>
  <c r="N46" i="83"/>
  <c r="Q45" i="83"/>
  <c r="P45" i="83"/>
  <c r="O45" i="83"/>
  <c r="N45" i="83"/>
  <c r="O44" i="83"/>
  <c r="N44" i="83"/>
  <c r="M44" i="83"/>
  <c r="L44" i="83"/>
  <c r="P44" i="83" s="1"/>
  <c r="E44" i="83"/>
  <c r="Q44" i="83" s="1"/>
  <c r="Q43" i="83"/>
  <c r="O43" i="83"/>
  <c r="M43" i="83"/>
  <c r="L43" i="83"/>
  <c r="I43" i="83"/>
  <c r="H43" i="83"/>
  <c r="E43" i="83"/>
  <c r="D43" i="83"/>
  <c r="P43" i="83" s="1"/>
  <c r="Q42" i="83"/>
  <c r="P42" i="83"/>
  <c r="O42" i="83"/>
  <c r="Q41" i="83"/>
  <c r="P41" i="83"/>
  <c r="O41" i="83"/>
  <c r="Q40" i="83"/>
  <c r="P40" i="83"/>
  <c r="O40" i="83"/>
  <c r="Q39" i="83"/>
  <c r="P39" i="83"/>
  <c r="Q38" i="83"/>
  <c r="P38" i="83"/>
  <c r="Q37" i="83"/>
  <c r="P37" i="83"/>
  <c r="O37" i="83"/>
  <c r="N37" i="83"/>
  <c r="Q36" i="83"/>
  <c r="P36" i="83"/>
  <c r="O36" i="83"/>
  <c r="N36" i="83"/>
  <c r="Q35" i="83"/>
  <c r="P35" i="83"/>
  <c r="O35" i="83"/>
  <c r="N35" i="83"/>
  <c r="Q34" i="83"/>
  <c r="P34" i="83"/>
  <c r="O34" i="83"/>
  <c r="N34" i="83"/>
  <c r="Q33" i="83"/>
  <c r="P33" i="83"/>
  <c r="O33" i="83"/>
  <c r="N33" i="83"/>
  <c r="Q32" i="83"/>
  <c r="P32" i="83"/>
  <c r="O32" i="83"/>
  <c r="N32" i="83"/>
  <c r="Q31" i="83"/>
  <c r="P31" i="83"/>
  <c r="O31" i="83"/>
  <c r="N31" i="83"/>
  <c r="Q30" i="83"/>
  <c r="P30" i="83"/>
  <c r="O30" i="83"/>
  <c r="N30" i="83"/>
  <c r="Q29" i="83"/>
  <c r="P29" i="83"/>
  <c r="O29" i="83"/>
  <c r="N29" i="83"/>
  <c r="Q28" i="83"/>
  <c r="P28" i="83"/>
  <c r="O28" i="83"/>
  <c r="N28" i="83"/>
  <c r="Q27" i="83"/>
  <c r="P27" i="83"/>
  <c r="L48" i="82"/>
  <c r="E48" i="82"/>
  <c r="K47" i="82"/>
  <c r="A47" i="82"/>
  <c r="K46" i="82"/>
  <c r="A46" i="82"/>
  <c r="K45" i="82"/>
  <c r="A45" i="82"/>
  <c r="K44" i="82"/>
  <c r="A44" i="82"/>
  <c r="K43" i="82"/>
  <c r="J43" i="82"/>
  <c r="J48" i="82" s="1"/>
  <c r="I43" i="82"/>
  <c r="I48" i="82" s="1"/>
  <c r="A43" i="82"/>
  <c r="K42" i="82"/>
  <c r="A42" i="82"/>
  <c r="K41" i="82"/>
  <c r="K48" i="82" s="1"/>
  <c r="A41" i="82"/>
  <c r="L38" i="82"/>
  <c r="J38" i="82"/>
  <c r="I38" i="82"/>
  <c r="E38" i="82"/>
  <c r="K37" i="82"/>
  <c r="A37" i="82"/>
  <c r="K36" i="82"/>
  <c r="A36" i="82"/>
  <c r="K35" i="82"/>
  <c r="A35" i="82"/>
  <c r="K34" i="82"/>
  <c r="A34" i="82"/>
  <c r="K33" i="82"/>
  <c r="A33" i="82"/>
  <c r="K32" i="82"/>
  <c r="A32" i="82"/>
  <c r="K31" i="82"/>
  <c r="A31" i="82"/>
  <c r="K30" i="82"/>
  <c r="A30" i="82"/>
  <c r="K29" i="82"/>
  <c r="A29" i="82"/>
  <c r="K28" i="82"/>
  <c r="A28" i="82"/>
  <c r="K27" i="82"/>
  <c r="A27" i="82"/>
  <c r="K26" i="82"/>
  <c r="A26" i="82"/>
  <c r="K25" i="82"/>
  <c r="A25" i="82"/>
  <c r="K24" i="82"/>
  <c r="A24" i="82"/>
  <c r="K23" i="82"/>
  <c r="A23" i="82"/>
  <c r="K22" i="82"/>
  <c r="A22" i="82"/>
  <c r="K21" i="82"/>
  <c r="A21" i="82"/>
  <c r="K20" i="82"/>
  <c r="A20" i="82"/>
  <c r="K19" i="82"/>
  <c r="A19" i="82"/>
  <c r="K18" i="82"/>
  <c r="A18" i="82"/>
  <c r="K17" i="82"/>
  <c r="A17" i="82"/>
  <c r="K16" i="82"/>
  <c r="A16" i="82"/>
  <c r="K15" i="82"/>
  <c r="K38" i="82" s="1"/>
  <c r="A15" i="82"/>
  <c r="A38" i="82" s="1"/>
  <c r="L7" i="82"/>
  <c r="J7" i="82"/>
  <c r="I7" i="82"/>
  <c r="E7" i="82"/>
  <c r="K6" i="82"/>
  <c r="K7" i="82" s="1"/>
  <c r="A6" i="82"/>
  <c r="I74" i="81"/>
  <c r="H74" i="81"/>
  <c r="G74" i="81"/>
  <c r="F74" i="81"/>
  <c r="AC149" i="80" l="1"/>
  <c r="AA149" i="80"/>
  <c r="Y149" i="80"/>
  <c r="W149" i="80"/>
  <c r="U149" i="80"/>
  <c r="S149" i="80"/>
  <c r="Q149" i="80"/>
  <c r="O149" i="80"/>
  <c r="L149" i="80"/>
  <c r="J149" i="80"/>
  <c r="H149" i="80"/>
  <c r="G149" i="80"/>
  <c r="F149" i="80"/>
  <c r="E149" i="80"/>
  <c r="D149" i="80"/>
  <c r="AB148" i="80"/>
  <c r="X148" i="80"/>
  <c r="T148" i="80"/>
  <c r="P148" i="80"/>
  <c r="K148" i="80"/>
  <c r="I148" i="80"/>
  <c r="AD148" i="80" s="1"/>
  <c r="I147" i="80"/>
  <c r="AB146" i="80"/>
  <c r="X146" i="80"/>
  <c r="T146" i="80"/>
  <c r="P146" i="80"/>
  <c r="K146" i="80"/>
  <c r="I146" i="80"/>
  <c r="AD146" i="80" s="1"/>
  <c r="R145" i="80"/>
  <c r="I145" i="80"/>
  <c r="AB144" i="80"/>
  <c r="X144" i="80"/>
  <c r="T144" i="80"/>
  <c r="P144" i="80"/>
  <c r="K144" i="80"/>
  <c r="I144" i="80"/>
  <c r="AD144" i="80" s="1"/>
  <c r="I143" i="80"/>
  <c r="AB142" i="80"/>
  <c r="X142" i="80"/>
  <c r="T142" i="80"/>
  <c r="P142" i="80"/>
  <c r="K142" i="80"/>
  <c r="I142" i="80"/>
  <c r="AD142" i="80" s="1"/>
  <c r="R141" i="80"/>
  <c r="I141" i="80"/>
  <c r="AB140" i="80"/>
  <c r="X140" i="80"/>
  <c r="T140" i="80"/>
  <c r="P140" i="80"/>
  <c r="K140" i="80"/>
  <c r="I140" i="80"/>
  <c r="AD140" i="80" s="1"/>
  <c r="I139" i="80"/>
  <c r="AB138" i="80"/>
  <c r="X138" i="80"/>
  <c r="T138" i="80"/>
  <c r="P138" i="80"/>
  <c r="K138" i="80"/>
  <c r="I138" i="80"/>
  <c r="I149" i="80" s="1"/>
  <c r="AC136" i="80"/>
  <c r="AA136" i="80"/>
  <c r="Y136" i="80"/>
  <c r="W136" i="80"/>
  <c r="U136" i="80"/>
  <c r="S136" i="80"/>
  <c r="Q136" i="80"/>
  <c r="O136" i="80"/>
  <c r="L136" i="80"/>
  <c r="J136" i="80"/>
  <c r="H136" i="80"/>
  <c r="G136" i="80"/>
  <c r="F136" i="80"/>
  <c r="E136" i="80"/>
  <c r="D136" i="80"/>
  <c r="Z135" i="80"/>
  <c r="I135" i="80"/>
  <c r="V134" i="80"/>
  <c r="M134" i="80"/>
  <c r="I134" i="80"/>
  <c r="AB133" i="80"/>
  <c r="X133" i="80"/>
  <c r="T133" i="80"/>
  <c r="P133" i="80"/>
  <c r="K133" i="80"/>
  <c r="I133" i="80"/>
  <c r="AD133" i="80" s="1"/>
  <c r="AD132" i="80"/>
  <c r="V132" i="80"/>
  <c r="M132" i="80"/>
  <c r="I132" i="80"/>
  <c r="AB131" i="80"/>
  <c r="X131" i="80"/>
  <c r="T131" i="80"/>
  <c r="P131" i="80"/>
  <c r="K131" i="80"/>
  <c r="I131" i="80"/>
  <c r="AD131" i="80" s="1"/>
  <c r="AD130" i="80"/>
  <c r="V130" i="80"/>
  <c r="M130" i="80"/>
  <c r="I130" i="80"/>
  <c r="AB129" i="80"/>
  <c r="X129" i="80"/>
  <c r="T129" i="80"/>
  <c r="P129" i="80"/>
  <c r="K129" i="80"/>
  <c r="I129" i="80"/>
  <c r="AD129" i="80" s="1"/>
  <c r="AD128" i="80"/>
  <c r="V128" i="80"/>
  <c r="M128" i="80"/>
  <c r="I128" i="80"/>
  <c r="AC126" i="80"/>
  <c r="AA126" i="80"/>
  <c r="Y126" i="80"/>
  <c r="W126" i="80"/>
  <c r="U126" i="80"/>
  <c r="S126" i="80"/>
  <c r="Q126" i="80"/>
  <c r="O126" i="80"/>
  <c r="L126" i="80"/>
  <c r="J126" i="80"/>
  <c r="H126" i="80"/>
  <c r="G126" i="80"/>
  <c r="F126" i="80"/>
  <c r="E126" i="80"/>
  <c r="D126" i="80"/>
  <c r="AB125" i="80"/>
  <c r="X125" i="80"/>
  <c r="T125" i="80"/>
  <c r="P125" i="80"/>
  <c r="K125" i="80"/>
  <c r="I125" i="80"/>
  <c r="AD125" i="80" s="1"/>
  <c r="I124" i="80"/>
  <c r="AB123" i="80"/>
  <c r="X123" i="80"/>
  <c r="T123" i="80"/>
  <c r="P123" i="80"/>
  <c r="K123" i="80"/>
  <c r="I123" i="80"/>
  <c r="AD123" i="80" s="1"/>
  <c r="R122" i="80"/>
  <c r="I122" i="80"/>
  <c r="AB121" i="80"/>
  <c r="X121" i="80"/>
  <c r="T121" i="80"/>
  <c r="P121" i="80"/>
  <c r="K121" i="80"/>
  <c r="I121" i="80"/>
  <c r="AD121" i="80" s="1"/>
  <c r="I120" i="80"/>
  <c r="AB119" i="80"/>
  <c r="X119" i="80"/>
  <c r="T119" i="80"/>
  <c r="P119" i="80"/>
  <c r="K119" i="80"/>
  <c r="I119" i="80"/>
  <c r="I126" i="80" s="1"/>
  <c r="AC117" i="80"/>
  <c r="AA117" i="80"/>
  <c r="Y117" i="80"/>
  <c r="W117" i="80"/>
  <c r="U117" i="80"/>
  <c r="S117" i="80"/>
  <c r="Q117" i="80"/>
  <c r="O117" i="80"/>
  <c r="L117" i="80"/>
  <c r="J117" i="80"/>
  <c r="H117" i="80"/>
  <c r="G117" i="80"/>
  <c r="F117" i="80"/>
  <c r="E117" i="80"/>
  <c r="D117" i="80"/>
  <c r="I116" i="80"/>
  <c r="AB115" i="80"/>
  <c r="X115" i="80"/>
  <c r="T115" i="80"/>
  <c r="P115" i="80"/>
  <c r="K115" i="80"/>
  <c r="I115" i="80"/>
  <c r="AD115" i="80" s="1"/>
  <c r="R114" i="80"/>
  <c r="I114" i="80"/>
  <c r="AB113" i="80"/>
  <c r="X113" i="80"/>
  <c r="T113" i="80"/>
  <c r="P113" i="80"/>
  <c r="K113" i="80"/>
  <c r="I113" i="80"/>
  <c r="AD113" i="80" s="1"/>
  <c r="I112" i="80"/>
  <c r="AB111" i="80"/>
  <c r="X111" i="80"/>
  <c r="T111" i="80"/>
  <c r="P111" i="80"/>
  <c r="K111" i="80"/>
  <c r="I111" i="80"/>
  <c r="AD111" i="80" s="1"/>
  <c r="R110" i="80"/>
  <c r="I110" i="80"/>
  <c r="AC108" i="80"/>
  <c r="AA108" i="80"/>
  <c r="Y108" i="80"/>
  <c r="W108" i="80"/>
  <c r="U108" i="80"/>
  <c r="S108" i="80"/>
  <c r="Q108" i="80"/>
  <c r="O108" i="80"/>
  <c r="L108" i="80"/>
  <c r="J108" i="80"/>
  <c r="H108" i="80"/>
  <c r="G108" i="80"/>
  <c r="F108" i="80"/>
  <c r="E108" i="80"/>
  <c r="D108" i="80"/>
  <c r="V107" i="80"/>
  <c r="M107" i="80"/>
  <c r="I107" i="80"/>
  <c r="AB106" i="80"/>
  <c r="X106" i="80"/>
  <c r="T106" i="80"/>
  <c r="P106" i="80"/>
  <c r="K106" i="80"/>
  <c r="I106" i="80"/>
  <c r="AD106" i="80" s="1"/>
  <c r="AD105" i="80"/>
  <c r="V105" i="80"/>
  <c r="M105" i="80"/>
  <c r="I105" i="80"/>
  <c r="AB104" i="80"/>
  <c r="X104" i="80"/>
  <c r="T104" i="80"/>
  <c r="P104" i="80"/>
  <c r="K104" i="80"/>
  <c r="I104" i="80"/>
  <c r="AD104" i="80" s="1"/>
  <c r="AD103" i="80"/>
  <c r="V103" i="80"/>
  <c r="M103" i="80"/>
  <c r="I103" i="80"/>
  <c r="AB102" i="80"/>
  <c r="X102" i="80"/>
  <c r="T102" i="80"/>
  <c r="P102" i="80"/>
  <c r="K102" i="80"/>
  <c r="I102" i="80"/>
  <c r="AD102" i="80" s="1"/>
  <c r="AD101" i="80"/>
  <c r="V101" i="80"/>
  <c r="M101" i="80"/>
  <c r="I101" i="80"/>
  <c r="AB100" i="80"/>
  <c r="X100" i="80"/>
  <c r="T100" i="80"/>
  <c r="P100" i="80"/>
  <c r="K100" i="80"/>
  <c r="I100" i="80"/>
  <c r="AD100" i="80" s="1"/>
  <c r="AD99" i="80"/>
  <c r="V99" i="80"/>
  <c r="M99" i="80"/>
  <c r="I99" i="80"/>
  <c r="AB98" i="80"/>
  <c r="X98" i="80"/>
  <c r="T98" i="80"/>
  <c r="P98" i="80"/>
  <c r="K98" i="80"/>
  <c r="I98" i="80"/>
  <c r="AD98" i="80" s="1"/>
  <c r="AD97" i="80"/>
  <c r="V97" i="80"/>
  <c r="M97" i="80"/>
  <c r="I97" i="80"/>
  <c r="AB96" i="80"/>
  <c r="X96" i="80"/>
  <c r="T96" i="80"/>
  <c r="P96" i="80"/>
  <c r="K96" i="80"/>
  <c r="I96" i="80"/>
  <c r="AD96" i="80" s="1"/>
  <c r="AD95" i="80"/>
  <c r="V95" i="80"/>
  <c r="M95" i="80"/>
  <c r="I95" i="80"/>
  <c r="AB94" i="80"/>
  <c r="X94" i="80"/>
  <c r="T94" i="80"/>
  <c r="P94" i="80"/>
  <c r="K94" i="80"/>
  <c r="I94" i="80"/>
  <c r="AD94" i="80" s="1"/>
  <c r="AD93" i="80"/>
  <c r="V93" i="80"/>
  <c r="M93" i="80"/>
  <c r="I93" i="80"/>
  <c r="AB92" i="80"/>
  <c r="X92" i="80"/>
  <c r="T92" i="80"/>
  <c r="P92" i="80"/>
  <c r="K92" i="80"/>
  <c r="I92" i="80"/>
  <c r="AD92" i="80" s="1"/>
  <c r="AD91" i="80"/>
  <c r="V91" i="80"/>
  <c r="M91" i="80"/>
  <c r="I91" i="80"/>
  <c r="AB90" i="80"/>
  <c r="X90" i="80"/>
  <c r="T90" i="80"/>
  <c r="P90" i="80"/>
  <c r="K90" i="80"/>
  <c r="I90" i="80"/>
  <c r="AD90" i="80" s="1"/>
  <c r="AD89" i="80"/>
  <c r="V89" i="80"/>
  <c r="M89" i="80"/>
  <c r="I89" i="80"/>
  <c r="AC87" i="80"/>
  <c r="AA87" i="80"/>
  <c r="Y87" i="80"/>
  <c r="W87" i="80"/>
  <c r="U87" i="80"/>
  <c r="S87" i="80"/>
  <c r="Q87" i="80"/>
  <c r="O87" i="80"/>
  <c r="L87" i="80"/>
  <c r="J87" i="80"/>
  <c r="H87" i="80"/>
  <c r="G87" i="80"/>
  <c r="F87" i="80"/>
  <c r="E87" i="80"/>
  <c r="D87" i="80"/>
  <c r="AB86" i="80"/>
  <c r="X86" i="80"/>
  <c r="T86" i="80"/>
  <c r="P86" i="80"/>
  <c r="K86" i="80"/>
  <c r="I86" i="80"/>
  <c r="AD86" i="80" s="1"/>
  <c r="I85" i="80"/>
  <c r="AB84" i="80"/>
  <c r="X84" i="80"/>
  <c r="T84" i="80"/>
  <c r="P84" i="80"/>
  <c r="K84" i="80"/>
  <c r="I84" i="80"/>
  <c r="AD84" i="80" s="1"/>
  <c r="I83" i="80"/>
  <c r="AB82" i="80"/>
  <c r="X82" i="80"/>
  <c r="T82" i="80"/>
  <c r="P82" i="80"/>
  <c r="K82" i="80"/>
  <c r="I82" i="80"/>
  <c r="AD82" i="80" s="1"/>
  <c r="I81" i="80"/>
  <c r="AB80" i="80"/>
  <c r="X80" i="80"/>
  <c r="T80" i="80"/>
  <c r="P80" i="80"/>
  <c r="K80" i="80"/>
  <c r="I80" i="80"/>
  <c r="AD80" i="80" s="1"/>
  <c r="I79" i="80"/>
  <c r="AB78" i="80"/>
  <c r="X78" i="80"/>
  <c r="T78" i="80"/>
  <c r="P78" i="80"/>
  <c r="K78" i="80"/>
  <c r="I78" i="80"/>
  <c r="AD78" i="80" s="1"/>
  <c r="I77" i="80"/>
  <c r="AC75" i="80"/>
  <c r="AA75" i="80"/>
  <c r="Y75" i="80"/>
  <c r="W75" i="80"/>
  <c r="U75" i="80"/>
  <c r="S75" i="80"/>
  <c r="Q75" i="80"/>
  <c r="O75" i="80"/>
  <c r="L75" i="80"/>
  <c r="J75" i="80"/>
  <c r="H75" i="80"/>
  <c r="G75" i="80"/>
  <c r="F75" i="80"/>
  <c r="E75" i="80"/>
  <c r="D75" i="80"/>
  <c r="AB74" i="80"/>
  <c r="X74" i="80"/>
  <c r="T74" i="80"/>
  <c r="P74" i="80"/>
  <c r="K74" i="80"/>
  <c r="I74" i="80"/>
  <c r="AD74" i="80" s="1"/>
  <c r="AD73" i="80"/>
  <c r="V73" i="80"/>
  <c r="M73" i="80"/>
  <c r="I73" i="80"/>
  <c r="AB72" i="80"/>
  <c r="X72" i="80"/>
  <c r="T72" i="80"/>
  <c r="P72" i="80"/>
  <c r="K72" i="80"/>
  <c r="I72" i="80"/>
  <c r="AD72" i="80" s="1"/>
  <c r="AD71" i="80"/>
  <c r="V71" i="80"/>
  <c r="M71" i="80"/>
  <c r="I71" i="80"/>
  <c r="AB70" i="80"/>
  <c r="X70" i="80"/>
  <c r="T70" i="80"/>
  <c r="P70" i="80"/>
  <c r="K70" i="80"/>
  <c r="I70" i="80"/>
  <c r="AD70" i="80" s="1"/>
  <c r="AD69" i="80"/>
  <c r="V69" i="80"/>
  <c r="M69" i="80"/>
  <c r="I69" i="80"/>
  <c r="AB68" i="80"/>
  <c r="X68" i="80"/>
  <c r="T68" i="80"/>
  <c r="P68" i="80"/>
  <c r="K68" i="80"/>
  <c r="I68" i="80"/>
  <c r="AD68" i="80" s="1"/>
  <c r="AD67" i="80"/>
  <c r="V67" i="80"/>
  <c r="M67" i="80"/>
  <c r="I67" i="80"/>
  <c r="AB66" i="80"/>
  <c r="X66" i="80"/>
  <c r="T66" i="80"/>
  <c r="P66" i="80"/>
  <c r="K66" i="80"/>
  <c r="I66" i="80"/>
  <c r="AD66" i="80" s="1"/>
  <c r="AD65" i="80"/>
  <c r="V65" i="80"/>
  <c r="M65" i="80"/>
  <c r="I65" i="80"/>
  <c r="AB64" i="80"/>
  <c r="X64" i="80"/>
  <c r="T64" i="80"/>
  <c r="P64" i="80"/>
  <c r="K64" i="80"/>
  <c r="I64" i="80"/>
  <c r="AD64" i="80" s="1"/>
  <c r="AD63" i="80"/>
  <c r="V63" i="80"/>
  <c r="M63" i="80"/>
  <c r="I63" i="80"/>
  <c r="AB62" i="80"/>
  <c r="X62" i="80"/>
  <c r="T62" i="80"/>
  <c r="P62" i="80"/>
  <c r="K62" i="80"/>
  <c r="I62" i="80"/>
  <c r="AD62" i="80" s="1"/>
  <c r="AD61" i="80"/>
  <c r="V61" i="80"/>
  <c r="M61" i="80"/>
  <c r="I61" i="80"/>
  <c r="AB60" i="80"/>
  <c r="X60" i="80"/>
  <c r="T60" i="80"/>
  <c r="P60" i="80"/>
  <c r="K60" i="80"/>
  <c r="I60" i="80"/>
  <c r="AD60" i="80" s="1"/>
  <c r="AD59" i="80"/>
  <c r="V59" i="80"/>
  <c r="M59" i="80"/>
  <c r="I59" i="80"/>
  <c r="AB58" i="80"/>
  <c r="X58" i="80"/>
  <c r="T58" i="80"/>
  <c r="P58" i="80"/>
  <c r="K58" i="80"/>
  <c r="I58" i="80"/>
  <c r="AD58" i="80" s="1"/>
  <c r="AD57" i="80"/>
  <c r="V57" i="80"/>
  <c r="M57" i="80"/>
  <c r="I57" i="80"/>
  <c r="AB56" i="80"/>
  <c r="X56" i="80"/>
  <c r="T56" i="80"/>
  <c r="P56" i="80"/>
  <c r="K56" i="80"/>
  <c r="I56" i="80"/>
  <c r="AD56" i="80" s="1"/>
  <c r="AD55" i="80"/>
  <c r="V55" i="80"/>
  <c r="M55" i="80"/>
  <c r="I55" i="80"/>
  <c r="AC53" i="80"/>
  <c r="AA53" i="80"/>
  <c r="Y53" i="80"/>
  <c r="W53" i="80"/>
  <c r="U53" i="80"/>
  <c r="S53" i="80"/>
  <c r="Q53" i="80"/>
  <c r="O53" i="80"/>
  <c r="L53" i="80"/>
  <c r="J53" i="80"/>
  <c r="H53" i="80"/>
  <c r="G53" i="80"/>
  <c r="F53" i="80"/>
  <c r="E53" i="80"/>
  <c r="D53" i="80"/>
  <c r="AB52" i="80"/>
  <c r="X52" i="80"/>
  <c r="T52" i="80"/>
  <c r="P52" i="80"/>
  <c r="K52" i="80"/>
  <c r="I52" i="80"/>
  <c r="AD52" i="80" s="1"/>
  <c r="I51" i="80"/>
  <c r="AB51" i="80" s="1"/>
  <c r="AB50" i="80"/>
  <c r="X50" i="80"/>
  <c r="T50" i="80"/>
  <c r="P50" i="80"/>
  <c r="K50" i="80"/>
  <c r="I50" i="80"/>
  <c r="AD50" i="80" s="1"/>
  <c r="I49" i="80"/>
  <c r="AB49" i="80" s="1"/>
  <c r="AB48" i="80"/>
  <c r="X48" i="80"/>
  <c r="T48" i="80"/>
  <c r="P48" i="80"/>
  <c r="K48" i="80"/>
  <c r="I48" i="80"/>
  <c r="AD48" i="80" s="1"/>
  <c r="I47" i="80"/>
  <c r="AB47" i="80" s="1"/>
  <c r="AB46" i="80"/>
  <c r="X46" i="80"/>
  <c r="T46" i="80"/>
  <c r="P46" i="80"/>
  <c r="K46" i="80"/>
  <c r="I46" i="80"/>
  <c r="AD46" i="80" s="1"/>
  <c r="I45" i="80"/>
  <c r="AB45" i="80" s="1"/>
  <c r="AB44" i="80"/>
  <c r="X44" i="80"/>
  <c r="T44" i="80"/>
  <c r="P44" i="80"/>
  <c r="K44" i="80"/>
  <c r="I44" i="80"/>
  <c r="AD44" i="80" s="1"/>
  <c r="I43" i="80"/>
  <c r="AB43" i="80" s="1"/>
  <c r="AB42" i="80"/>
  <c r="X42" i="80"/>
  <c r="T42" i="80"/>
  <c r="P42" i="80"/>
  <c r="K42" i="80"/>
  <c r="I42" i="80"/>
  <c r="AD42" i="80" s="1"/>
  <c r="I41" i="80"/>
  <c r="AB41" i="80" s="1"/>
  <c r="AB40" i="80"/>
  <c r="X40" i="80"/>
  <c r="T40" i="80"/>
  <c r="P40" i="80"/>
  <c r="K40" i="80"/>
  <c r="I40" i="80"/>
  <c r="AD40" i="80" s="1"/>
  <c r="I39" i="80"/>
  <c r="I53" i="80" s="1"/>
  <c r="AC37" i="80"/>
  <c r="AD37" i="80" s="1"/>
  <c r="AA37" i="80"/>
  <c r="Y37" i="80"/>
  <c r="Z37" i="80" s="1"/>
  <c r="W37" i="80"/>
  <c r="U37" i="80"/>
  <c r="V37" i="80" s="1"/>
  <c r="S37" i="80"/>
  <c r="Q37" i="80"/>
  <c r="R37" i="80" s="1"/>
  <c r="O37" i="80"/>
  <c r="L37" i="80"/>
  <c r="M37" i="80" s="1"/>
  <c r="J37" i="80"/>
  <c r="H37" i="80"/>
  <c r="G37" i="80"/>
  <c r="F37" i="80"/>
  <c r="E37" i="80"/>
  <c r="D37" i="80"/>
  <c r="AB36" i="80"/>
  <c r="X36" i="80"/>
  <c r="T36" i="80"/>
  <c r="P36" i="80"/>
  <c r="K36" i="80"/>
  <c r="I36" i="80"/>
  <c r="AD36" i="80" s="1"/>
  <c r="I35" i="80"/>
  <c r="AB35" i="80" s="1"/>
  <c r="AB34" i="80"/>
  <c r="X34" i="80"/>
  <c r="T34" i="80"/>
  <c r="P34" i="80"/>
  <c r="K34" i="80"/>
  <c r="I34" i="80"/>
  <c r="I37" i="80" s="1"/>
  <c r="AC32" i="80"/>
  <c r="AA32" i="80"/>
  <c r="Y32" i="80"/>
  <c r="W32" i="80"/>
  <c r="W151" i="80" s="1"/>
  <c r="U32" i="80"/>
  <c r="S32" i="80"/>
  <c r="Q32" i="80"/>
  <c r="O32" i="80"/>
  <c r="L32" i="80"/>
  <c r="J32" i="80"/>
  <c r="H32" i="80"/>
  <c r="G32" i="80"/>
  <c r="G151" i="80" s="1"/>
  <c r="F32" i="80"/>
  <c r="F151" i="80" s="1"/>
  <c r="E32" i="80"/>
  <c r="E151" i="80" s="1"/>
  <c r="D32" i="80"/>
  <c r="I31" i="80"/>
  <c r="AB31" i="80" s="1"/>
  <c r="AB30" i="80"/>
  <c r="X30" i="80"/>
  <c r="T30" i="80"/>
  <c r="P30" i="80"/>
  <c r="K30" i="80"/>
  <c r="I30" i="80"/>
  <c r="AD30" i="80" s="1"/>
  <c r="I29" i="80"/>
  <c r="AB29" i="80" s="1"/>
  <c r="AB28" i="80"/>
  <c r="X28" i="80"/>
  <c r="T28" i="80"/>
  <c r="P28" i="80"/>
  <c r="K28" i="80"/>
  <c r="I28" i="80"/>
  <c r="AD28" i="80" s="1"/>
  <c r="I27" i="80"/>
  <c r="AB27" i="80" s="1"/>
  <c r="AB26" i="80"/>
  <c r="X26" i="80"/>
  <c r="T26" i="80"/>
  <c r="P26" i="80"/>
  <c r="K26" i="80"/>
  <c r="I26" i="80"/>
  <c r="AD26" i="80" s="1"/>
  <c r="I25" i="80"/>
  <c r="AB25" i="80" s="1"/>
  <c r="AB24" i="80"/>
  <c r="X24" i="80"/>
  <c r="T24" i="80"/>
  <c r="P24" i="80"/>
  <c r="K24" i="80"/>
  <c r="I24" i="80"/>
  <c r="AD24" i="80" s="1"/>
  <c r="I23" i="80"/>
  <c r="AB23" i="80" s="1"/>
  <c r="AB22" i="80"/>
  <c r="X22" i="80"/>
  <c r="T22" i="80"/>
  <c r="P22" i="80"/>
  <c r="K22" i="80"/>
  <c r="I22" i="80"/>
  <c r="AD22" i="80" s="1"/>
  <c r="I21" i="80"/>
  <c r="AB21" i="80" s="1"/>
  <c r="AB20" i="80"/>
  <c r="X20" i="80"/>
  <c r="T20" i="80"/>
  <c r="P20" i="80"/>
  <c r="K20" i="80"/>
  <c r="I20" i="80"/>
  <c r="AD20" i="80" s="1"/>
  <c r="I19" i="80"/>
  <c r="AB19" i="80" s="1"/>
  <c r="AB18" i="80"/>
  <c r="X18" i="80"/>
  <c r="T18" i="80"/>
  <c r="P18" i="80"/>
  <c r="K18" i="80"/>
  <c r="I18" i="80"/>
  <c r="AD18" i="80" s="1"/>
  <c r="I17" i="80"/>
  <c r="AB17" i="80" s="1"/>
  <c r="AB16" i="80"/>
  <c r="X16" i="80"/>
  <c r="T16" i="80"/>
  <c r="P16" i="80"/>
  <c r="K16" i="80"/>
  <c r="I16" i="80"/>
  <c r="AD16" i="80" s="1"/>
  <c r="I15" i="80"/>
  <c r="AB15" i="80" s="1"/>
  <c r="AB14" i="80"/>
  <c r="X14" i="80"/>
  <c r="T14" i="80"/>
  <c r="P14" i="80"/>
  <c r="K14" i="80"/>
  <c r="I14" i="80"/>
  <c r="AD14" i="80" s="1"/>
  <c r="I13" i="80"/>
  <c r="AB13" i="80" s="1"/>
  <c r="AB12" i="80"/>
  <c r="X12" i="80"/>
  <c r="T12" i="80"/>
  <c r="P12" i="80"/>
  <c r="K12" i="80"/>
  <c r="I12" i="80"/>
  <c r="AD12" i="80" s="1"/>
  <c r="I11" i="80"/>
  <c r="AB11" i="80" s="1"/>
  <c r="AB10" i="80"/>
  <c r="X10" i="80"/>
  <c r="T10" i="80"/>
  <c r="P10" i="80"/>
  <c r="K10" i="80"/>
  <c r="I10" i="80"/>
  <c r="AD10" i="80" s="1"/>
  <c r="I9" i="80"/>
  <c r="AB9" i="80" s="1"/>
  <c r="AB8" i="80"/>
  <c r="X8" i="80"/>
  <c r="T8" i="80"/>
  <c r="P8" i="80"/>
  <c r="K8" i="80"/>
  <c r="I8" i="80"/>
  <c r="AD8" i="80" s="1"/>
  <c r="I7" i="80"/>
  <c r="AB7" i="80" s="1"/>
  <c r="K37" i="80" l="1"/>
  <c r="P37" i="80"/>
  <c r="T37" i="80"/>
  <c r="X37" i="80"/>
  <c r="AB37" i="80"/>
  <c r="K53" i="80"/>
  <c r="M7" i="80"/>
  <c r="R7" i="80"/>
  <c r="V7" i="80"/>
  <c r="Z7" i="80"/>
  <c r="AD7" i="80"/>
  <c r="M9" i="80"/>
  <c r="R9" i="80"/>
  <c r="V9" i="80"/>
  <c r="Z9" i="80"/>
  <c r="AD9" i="80"/>
  <c r="M11" i="80"/>
  <c r="R11" i="80"/>
  <c r="V11" i="80"/>
  <c r="Z11" i="80"/>
  <c r="AD11" i="80"/>
  <c r="M13" i="80"/>
  <c r="R13" i="80"/>
  <c r="V13" i="80"/>
  <c r="Z13" i="80"/>
  <c r="AD13" i="80"/>
  <c r="M15" i="80"/>
  <c r="R15" i="80"/>
  <c r="V15" i="80"/>
  <c r="Z15" i="80"/>
  <c r="AD15" i="80"/>
  <c r="M17" i="80"/>
  <c r="R17" i="80"/>
  <c r="V17" i="80"/>
  <c r="Z17" i="80"/>
  <c r="AD17" i="80"/>
  <c r="M19" i="80"/>
  <c r="R19" i="80"/>
  <c r="V19" i="80"/>
  <c r="Z19" i="80"/>
  <c r="AD19" i="80"/>
  <c r="M21" i="80"/>
  <c r="R21" i="80"/>
  <c r="V21" i="80"/>
  <c r="Z21" i="80"/>
  <c r="AD21" i="80"/>
  <c r="M23" i="80"/>
  <c r="R23" i="80"/>
  <c r="V23" i="80"/>
  <c r="Z23" i="80"/>
  <c r="AD23" i="80"/>
  <c r="M25" i="80"/>
  <c r="R25" i="80"/>
  <c r="V25" i="80"/>
  <c r="Z25" i="80"/>
  <c r="AD25" i="80"/>
  <c r="M27" i="80"/>
  <c r="R27" i="80"/>
  <c r="V27" i="80"/>
  <c r="Z27" i="80"/>
  <c r="AD27" i="80"/>
  <c r="M29" i="80"/>
  <c r="R29" i="80"/>
  <c r="V29" i="80"/>
  <c r="Z29" i="80"/>
  <c r="AD29" i="80"/>
  <c r="M31" i="80"/>
  <c r="R31" i="80"/>
  <c r="V31" i="80"/>
  <c r="Z31" i="80"/>
  <c r="AD31" i="80"/>
  <c r="I32" i="80"/>
  <c r="M35" i="80"/>
  <c r="R35" i="80"/>
  <c r="V35" i="80"/>
  <c r="Z35" i="80"/>
  <c r="AD35" i="80"/>
  <c r="M39" i="80"/>
  <c r="R39" i="80"/>
  <c r="V39" i="80"/>
  <c r="Z39" i="80"/>
  <c r="AD39" i="80"/>
  <c r="M41" i="80"/>
  <c r="R41" i="80"/>
  <c r="V41" i="80"/>
  <c r="Z41" i="80"/>
  <c r="AD41" i="80"/>
  <c r="M43" i="80"/>
  <c r="R43" i="80"/>
  <c r="V43" i="80"/>
  <c r="Z43" i="80"/>
  <c r="AD43" i="80"/>
  <c r="M45" i="80"/>
  <c r="R45" i="80"/>
  <c r="V45" i="80"/>
  <c r="Z45" i="80"/>
  <c r="AD45" i="80"/>
  <c r="M47" i="80"/>
  <c r="R47" i="80"/>
  <c r="V47" i="80"/>
  <c r="Z47" i="80"/>
  <c r="AD47" i="80"/>
  <c r="M49" i="80"/>
  <c r="R49" i="80"/>
  <c r="V49" i="80"/>
  <c r="Z49" i="80"/>
  <c r="AD49" i="80"/>
  <c r="M51" i="80"/>
  <c r="R51" i="80"/>
  <c r="V51" i="80"/>
  <c r="Z51" i="80"/>
  <c r="AD51" i="80"/>
  <c r="M53" i="80"/>
  <c r="R53" i="80"/>
  <c r="V53" i="80"/>
  <c r="Z53" i="80"/>
  <c r="AD53" i="80"/>
  <c r="P75" i="80"/>
  <c r="X75" i="80"/>
  <c r="I87" i="80"/>
  <c r="R87" i="80" s="1"/>
  <c r="AB77" i="80"/>
  <c r="X77" i="80"/>
  <c r="T77" i="80"/>
  <c r="P77" i="80"/>
  <c r="K77" i="80"/>
  <c r="R77" i="80"/>
  <c r="Z77" i="80"/>
  <c r="AB79" i="80"/>
  <c r="X79" i="80"/>
  <c r="T79" i="80"/>
  <c r="P79" i="80"/>
  <c r="K79" i="80"/>
  <c r="R79" i="80"/>
  <c r="Z79" i="80"/>
  <c r="AB81" i="80"/>
  <c r="X81" i="80"/>
  <c r="T81" i="80"/>
  <c r="P81" i="80"/>
  <c r="K81" i="80"/>
  <c r="R81" i="80"/>
  <c r="Z81" i="80"/>
  <c r="AB83" i="80"/>
  <c r="X83" i="80"/>
  <c r="T83" i="80"/>
  <c r="P83" i="80"/>
  <c r="K83" i="80"/>
  <c r="R83" i="80"/>
  <c r="Z83" i="80"/>
  <c r="AB85" i="80"/>
  <c r="X85" i="80"/>
  <c r="T85" i="80"/>
  <c r="P85" i="80"/>
  <c r="K85" i="80"/>
  <c r="R85" i="80"/>
  <c r="Z85" i="80"/>
  <c r="M87" i="80"/>
  <c r="V87" i="80"/>
  <c r="AD87" i="80"/>
  <c r="AB112" i="80"/>
  <c r="X112" i="80"/>
  <c r="T112" i="80"/>
  <c r="P112" i="80"/>
  <c r="K112" i="80"/>
  <c r="AD112" i="80"/>
  <c r="V112" i="80"/>
  <c r="M112" i="80"/>
  <c r="Z112" i="80"/>
  <c r="AB116" i="80"/>
  <c r="X116" i="80"/>
  <c r="T116" i="80"/>
  <c r="P116" i="80"/>
  <c r="K116" i="80"/>
  <c r="AD116" i="80"/>
  <c r="V116" i="80"/>
  <c r="M116" i="80"/>
  <c r="Z116" i="80"/>
  <c r="AB120" i="80"/>
  <c r="X120" i="80"/>
  <c r="T120" i="80"/>
  <c r="P120" i="80"/>
  <c r="K120" i="80"/>
  <c r="AD120" i="80"/>
  <c r="V120" i="80"/>
  <c r="M120" i="80"/>
  <c r="Z120" i="80"/>
  <c r="AB124" i="80"/>
  <c r="X124" i="80"/>
  <c r="T124" i="80"/>
  <c r="P124" i="80"/>
  <c r="K124" i="80"/>
  <c r="AD124" i="80"/>
  <c r="V124" i="80"/>
  <c r="M124" i="80"/>
  <c r="Z124" i="80"/>
  <c r="AB139" i="80"/>
  <c r="X139" i="80"/>
  <c r="T139" i="80"/>
  <c r="P139" i="80"/>
  <c r="K139" i="80"/>
  <c r="AD139" i="80"/>
  <c r="V139" i="80"/>
  <c r="M139" i="80"/>
  <c r="R139" i="80"/>
  <c r="AB143" i="80"/>
  <c r="X143" i="80"/>
  <c r="T143" i="80"/>
  <c r="P143" i="80"/>
  <c r="K143" i="80"/>
  <c r="AD143" i="80"/>
  <c r="V143" i="80"/>
  <c r="M143" i="80"/>
  <c r="R143" i="80"/>
  <c r="AB147" i="80"/>
  <c r="X147" i="80"/>
  <c r="T147" i="80"/>
  <c r="P147" i="80"/>
  <c r="K147" i="80"/>
  <c r="AD147" i="80"/>
  <c r="V147" i="80"/>
  <c r="M147" i="80"/>
  <c r="R147" i="80"/>
  <c r="O151" i="80"/>
  <c r="K7" i="80"/>
  <c r="P7" i="80"/>
  <c r="T7" i="80"/>
  <c r="X7" i="80"/>
  <c r="M8" i="80"/>
  <c r="R8" i="80"/>
  <c r="V8" i="80"/>
  <c r="Z8" i="80"/>
  <c r="K9" i="80"/>
  <c r="P9" i="80"/>
  <c r="T9" i="80"/>
  <c r="X9" i="80"/>
  <c r="M10" i="80"/>
  <c r="R10" i="80"/>
  <c r="V10" i="80"/>
  <c r="Z10" i="80"/>
  <c r="K11" i="80"/>
  <c r="P11" i="80"/>
  <c r="T11" i="80"/>
  <c r="X11" i="80"/>
  <c r="M12" i="80"/>
  <c r="R12" i="80"/>
  <c r="V12" i="80"/>
  <c r="Z12" i="80"/>
  <c r="K13" i="80"/>
  <c r="P13" i="80"/>
  <c r="T13" i="80"/>
  <c r="X13" i="80"/>
  <c r="M14" i="80"/>
  <c r="R14" i="80"/>
  <c r="V14" i="80"/>
  <c r="Z14" i="80"/>
  <c r="K15" i="80"/>
  <c r="P15" i="80"/>
  <c r="T15" i="80"/>
  <c r="X15" i="80"/>
  <c r="M16" i="80"/>
  <c r="R16" i="80"/>
  <c r="V16" i="80"/>
  <c r="Z16" i="80"/>
  <c r="K17" i="80"/>
  <c r="P17" i="80"/>
  <c r="T17" i="80"/>
  <c r="X17" i="80"/>
  <c r="M18" i="80"/>
  <c r="R18" i="80"/>
  <c r="V18" i="80"/>
  <c r="Z18" i="80"/>
  <c r="K19" i="80"/>
  <c r="P19" i="80"/>
  <c r="T19" i="80"/>
  <c r="X19" i="80"/>
  <c r="M20" i="80"/>
  <c r="R20" i="80"/>
  <c r="V20" i="80"/>
  <c r="Z20" i="80"/>
  <c r="K21" i="80"/>
  <c r="P21" i="80"/>
  <c r="T21" i="80"/>
  <c r="X21" i="80"/>
  <c r="M22" i="80"/>
  <c r="R22" i="80"/>
  <c r="V22" i="80"/>
  <c r="Z22" i="80"/>
  <c r="K23" i="80"/>
  <c r="P23" i="80"/>
  <c r="T23" i="80"/>
  <c r="X23" i="80"/>
  <c r="M24" i="80"/>
  <c r="R24" i="80"/>
  <c r="V24" i="80"/>
  <c r="Z24" i="80"/>
  <c r="K25" i="80"/>
  <c r="P25" i="80"/>
  <c r="T25" i="80"/>
  <c r="X25" i="80"/>
  <c r="M26" i="80"/>
  <c r="R26" i="80"/>
  <c r="V26" i="80"/>
  <c r="Z26" i="80"/>
  <c r="K27" i="80"/>
  <c r="P27" i="80"/>
  <c r="T27" i="80"/>
  <c r="X27" i="80"/>
  <c r="M28" i="80"/>
  <c r="R28" i="80"/>
  <c r="V28" i="80"/>
  <c r="Z28" i="80"/>
  <c r="K29" i="80"/>
  <c r="P29" i="80"/>
  <c r="T29" i="80"/>
  <c r="X29" i="80"/>
  <c r="M30" i="80"/>
  <c r="R30" i="80"/>
  <c r="V30" i="80"/>
  <c r="Z30" i="80"/>
  <c r="K31" i="80"/>
  <c r="P31" i="80"/>
  <c r="T31" i="80"/>
  <c r="X31" i="80"/>
  <c r="D151" i="80"/>
  <c r="H151" i="80"/>
  <c r="J151" i="80"/>
  <c r="L151" i="80"/>
  <c r="Q151" i="80"/>
  <c r="S151" i="80"/>
  <c r="U151" i="80"/>
  <c r="Y151" i="80"/>
  <c r="AA151" i="80"/>
  <c r="AC151" i="80"/>
  <c r="M34" i="80"/>
  <c r="R34" i="80"/>
  <c r="V34" i="80"/>
  <c r="Z34" i="80"/>
  <c r="AD34" i="80"/>
  <c r="K35" i="80"/>
  <c r="P35" i="80"/>
  <c r="T35" i="80"/>
  <c r="X35" i="80"/>
  <c r="M36" i="80"/>
  <c r="R36" i="80"/>
  <c r="V36" i="80"/>
  <c r="Z36" i="80"/>
  <c r="K39" i="80"/>
  <c r="P39" i="80"/>
  <c r="T39" i="80"/>
  <c r="X39" i="80"/>
  <c r="AB39" i="80"/>
  <c r="M40" i="80"/>
  <c r="R40" i="80"/>
  <c r="V40" i="80"/>
  <c r="Z40" i="80"/>
  <c r="K41" i="80"/>
  <c r="P41" i="80"/>
  <c r="T41" i="80"/>
  <c r="X41" i="80"/>
  <c r="M42" i="80"/>
  <c r="R42" i="80"/>
  <c r="V42" i="80"/>
  <c r="Z42" i="80"/>
  <c r="K43" i="80"/>
  <c r="P43" i="80"/>
  <c r="T43" i="80"/>
  <c r="X43" i="80"/>
  <c r="M44" i="80"/>
  <c r="R44" i="80"/>
  <c r="V44" i="80"/>
  <c r="Z44" i="80"/>
  <c r="K45" i="80"/>
  <c r="P45" i="80"/>
  <c r="T45" i="80"/>
  <c r="X45" i="80"/>
  <c r="M46" i="80"/>
  <c r="R46" i="80"/>
  <c r="V46" i="80"/>
  <c r="Z46" i="80"/>
  <c r="K47" i="80"/>
  <c r="P47" i="80"/>
  <c r="T47" i="80"/>
  <c r="X47" i="80"/>
  <c r="M48" i="80"/>
  <c r="R48" i="80"/>
  <c r="V48" i="80"/>
  <c r="Z48" i="80"/>
  <c r="K49" i="80"/>
  <c r="P49" i="80"/>
  <c r="T49" i="80"/>
  <c r="X49" i="80"/>
  <c r="M50" i="80"/>
  <c r="R50" i="80"/>
  <c r="V50" i="80"/>
  <c r="Z50" i="80"/>
  <c r="K51" i="80"/>
  <c r="P51" i="80"/>
  <c r="T51" i="80"/>
  <c r="X51" i="80"/>
  <c r="M52" i="80"/>
  <c r="R52" i="80"/>
  <c r="V52" i="80"/>
  <c r="Z52" i="80"/>
  <c r="P53" i="80"/>
  <c r="T53" i="80"/>
  <c r="X53" i="80"/>
  <c r="AB53" i="80"/>
  <c r="I75" i="80"/>
  <c r="K75" i="80" s="1"/>
  <c r="AB55" i="80"/>
  <c r="X55" i="80"/>
  <c r="T55" i="80"/>
  <c r="P55" i="80"/>
  <c r="K55" i="80"/>
  <c r="R55" i="80"/>
  <c r="Z55" i="80"/>
  <c r="AB57" i="80"/>
  <c r="X57" i="80"/>
  <c r="T57" i="80"/>
  <c r="P57" i="80"/>
  <c r="K57" i="80"/>
  <c r="R57" i="80"/>
  <c r="Z57" i="80"/>
  <c r="AB59" i="80"/>
  <c r="X59" i="80"/>
  <c r="T59" i="80"/>
  <c r="P59" i="80"/>
  <c r="K59" i="80"/>
  <c r="R59" i="80"/>
  <c r="Z59" i="80"/>
  <c r="AB61" i="80"/>
  <c r="X61" i="80"/>
  <c r="T61" i="80"/>
  <c r="P61" i="80"/>
  <c r="K61" i="80"/>
  <c r="R61" i="80"/>
  <c r="Z61" i="80"/>
  <c r="AB63" i="80"/>
  <c r="X63" i="80"/>
  <c r="T63" i="80"/>
  <c r="P63" i="80"/>
  <c r="K63" i="80"/>
  <c r="R63" i="80"/>
  <c r="Z63" i="80"/>
  <c r="AB65" i="80"/>
  <c r="X65" i="80"/>
  <c r="T65" i="80"/>
  <c r="P65" i="80"/>
  <c r="K65" i="80"/>
  <c r="R65" i="80"/>
  <c r="Z65" i="80"/>
  <c r="AB67" i="80"/>
  <c r="X67" i="80"/>
  <c r="T67" i="80"/>
  <c r="P67" i="80"/>
  <c r="K67" i="80"/>
  <c r="R67" i="80"/>
  <c r="Z67" i="80"/>
  <c r="AB69" i="80"/>
  <c r="X69" i="80"/>
  <c r="T69" i="80"/>
  <c r="P69" i="80"/>
  <c r="K69" i="80"/>
  <c r="R69" i="80"/>
  <c r="Z69" i="80"/>
  <c r="AB71" i="80"/>
  <c r="X71" i="80"/>
  <c r="T71" i="80"/>
  <c r="P71" i="80"/>
  <c r="K71" i="80"/>
  <c r="R71" i="80"/>
  <c r="Z71" i="80"/>
  <c r="AB73" i="80"/>
  <c r="X73" i="80"/>
  <c r="T73" i="80"/>
  <c r="P73" i="80"/>
  <c r="K73" i="80"/>
  <c r="R73" i="80"/>
  <c r="Z73" i="80"/>
  <c r="M75" i="80"/>
  <c r="R75" i="80"/>
  <c r="V75" i="80"/>
  <c r="Z75" i="80"/>
  <c r="AD75" i="80"/>
  <c r="M77" i="80"/>
  <c r="V77" i="80"/>
  <c r="AD77" i="80"/>
  <c r="M79" i="80"/>
  <c r="V79" i="80"/>
  <c r="AD79" i="80"/>
  <c r="M81" i="80"/>
  <c r="V81" i="80"/>
  <c r="AD81" i="80"/>
  <c r="M83" i="80"/>
  <c r="V83" i="80"/>
  <c r="AD83" i="80"/>
  <c r="M85" i="80"/>
  <c r="V85" i="80"/>
  <c r="AD85" i="80"/>
  <c r="K87" i="80"/>
  <c r="T87" i="80"/>
  <c r="AB87" i="80"/>
  <c r="I108" i="80"/>
  <c r="AB89" i="80"/>
  <c r="X89" i="80"/>
  <c r="T89" i="80"/>
  <c r="P89" i="80"/>
  <c r="K89" i="80"/>
  <c r="R89" i="80"/>
  <c r="Z89" i="80"/>
  <c r="AB91" i="80"/>
  <c r="X91" i="80"/>
  <c r="T91" i="80"/>
  <c r="P91" i="80"/>
  <c r="K91" i="80"/>
  <c r="R91" i="80"/>
  <c r="Z91" i="80"/>
  <c r="AB93" i="80"/>
  <c r="X93" i="80"/>
  <c r="T93" i="80"/>
  <c r="P93" i="80"/>
  <c r="K93" i="80"/>
  <c r="R93" i="80"/>
  <c r="Z93" i="80"/>
  <c r="AB95" i="80"/>
  <c r="X95" i="80"/>
  <c r="T95" i="80"/>
  <c r="P95" i="80"/>
  <c r="K95" i="80"/>
  <c r="R95" i="80"/>
  <c r="Z95" i="80"/>
  <c r="AB97" i="80"/>
  <c r="X97" i="80"/>
  <c r="T97" i="80"/>
  <c r="P97" i="80"/>
  <c r="K97" i="80"/>
  <c r="R97" i="80"/>
  <c r="Z97" i="80"/>
  <c r="AB99" i="80"/>
  <c r="X99" i="80"/>
  <c r="T99" i="80"/>
  <c r="P99" i="80"/>
  <c r="K99" i="80"/>
  <c r="R99" i="80"/>
  <c r="Z99" i="80"/>
  <c r="AB101" i="80"/>
  <c r="X101" i="80"/>
  <c r="T101" i="80"/>
  <c r="P101" i="80"/>
  <c r="K101" i="80"/>
  <c r="R101" i="80"/>
  <c r="Z101" i="80"/>
  <c r="AB103" i="80"/>
  <c r="X103" i="80"/>
  <c r="T103" i="80"/>
  <c r="P103" i="80"/>
  <c r="K103" i="80"/>
  <c r="R103" i="80"/>
  <c r="Z103" i="80"/>
  <c r="AB105" i="80"/>
  <c r="X105" i="80"/>
  <c r="T105" i="80"/>
  <c r="P105" i="80"/>
  <c r="K105" i="80"/>
  <c r="R105" i="80"/>
  <c r="Z105" i="80"/>
  <c r="AD107" i="80"/>
  <c r="Z107" i="80"/>
  <c r="X107" i="80"/>
  <c r="T107" i="80"/>
  <c r="P107" i="80"/>
  <c r="K107" i="80"/>
  <c r="R107" i="80"/>
  <c r="AB107" i="80"/>
  <c r="K108" i="80"/>
  <c r="P108" i="80"/>
  <c r="T108" i="80"/>
  <c r="X108" i="80"/>
  <c r="AB108" i="80"/>
  <c r="AB110" i="80"/>
  <c r="X110" i="80"/>
  <c r="T110" i="80"/>
  <c r="P110" i="80"/>
  <c r="K110" i="80"/>
  <c r="I117" i="80"/>
  <c r="AD110" i="80"/>
  <c r="V110" i="80"/>
  <c r="M110" i="80"/>
  <c r="Z110" i="80"/>
  <c r="R112" i="80"/>
  <c r="AB114" i="80"/>
  <c r="X114" i="80"/>
  <c r="T114" i="80"/>
  <c r="P114" i="80"/>
  <c r="K114" i="80"/>
  <c r="AD114" i="80"/>
  <c r="V114" i="80"/>
  <c r="M114" i="80"/>
  <c r="Z114" i="80"/>
  <c r="R116" i="80"/>
  <c r="R120" i="80"/>
  <c r="AB122" i="80"/>
  <c r="X122" i="80"/>
  <c r="T122" i="80"/>
  <c r="P122" i="80"/>
  <c r="K122" i="80"/>
  <c r="AD122" i="80"/>
  <c r="V122" i="80"/>
  <c r="M122" i="80"/>
  <c r="Z122" i="80"/>
  <c r="R124" i="80"/>
  <c r="M126" i="80"/>
  <c r="R126" i="80"/>
  <c r="V126" i="80"/>
  <c r="Z126" i="80"/>
  <c r="AD126" i="80"/>
  <c r="AB135" i="80"/>
  <c r="X135" i="80"/>
  <c r="T135" i="80"/>
  <c r="P135" i="80"/>
  <c r="K135" i="80"/>
  <c r="AD135" i="80"/>
  <c r="V135" i="80"/>
  <c r="M135" i="80"/>
  <c r="R135" i="80"/>
  <c r="Z139" i="80"/>
  <c r="Z143" i="80"/>
  <c r="Z147" i="80"/>
  <c r="M56" i="80"/>
  <c r="R56" i="80"/>
  <c r="V56" i="80"/>
  <c r="Z56" i="80"/>
  <c r="M58" i="80"/>
  <c r="R58" i="80"/>
  <c r="V58" i="80"/>
  <c r="Z58" i="80"/>
  <c r="M60" i="80"/>
  <c r="R60" i="80"/>
  <c r="V60" i="80"/>
  <c r="Z60" i="80"/>
  <c r="M62" i="80"/>
  <c r="R62" i="80"/>
  <c r="V62" i="80"/>
  <c r="Z62" i="80"/>
  <c r="M64" i="80"/>
  <c r="R64" i="80"/>
  <c r="V64" i="80"/>
  <c r="Z64" i="80"/>
  <c r="M66" i="80"/>
  <c r="R66" i="80"/>
  <c r="V66" i="80"/>
  <c r="Z66" i="80"/>
  <c r="M68" i="80"/>
  <c r="R68" i="80"/>
  <c r="V68" i="80"/>
  <c r="Z68" i="80"/>
  <c r="M70" i="80"/>
  <c r="R70" i="80"/>
  <c r="V70" i="80"/>
  <c r="Z70" i="80"/>
  <c r="M72" i="80"/>
  <c r="R72" i="80"/>
  <c r="V72" i="80"/>
  <c r="Z72" i="80"/>
  <c r="M74" i="80"/>
  <c r="R74" i="80"/>
  <c r="V74" i="80"/>
  <c r="Z74" i="80"/>
  <c r="M78" i="80"/>
  <c r="R78" i="80"/>
  <c r="V78" i="80"/>
  <c r="Z78" i="80"/>
  <c r="M80" i="80"/>
  <c r="R80" i="80"/>
  <c r="V80" i="80"/>
  <c r="Z80" i="80"/>
  <c r="M82" i="80"/>
  <c r="R82" i="80"/>
  <c r="V82" i="80"/>
  <c r="Z82" i="80"/>
  <c r="M84" i="80"/>
  <c r="R84" i="80"/>
  <c r="V84" i="80"/>
  <c r="Z84" i="80"/>
  <c r="M86" i="80"/>
  <c r="R86" i="80"/>
  <c r="V86" i="80"/>
  <c r="Z86" i="80"/>
  <c r="M90" i="80"/>
  <c r="R90" i="80"/>
  <c r="V90" i="80"/>
  <c r="Z90" i="80"/>
  <c r="M92" i="80"/>
  <c r="R92" i="80"/>
  <c r="V92" i="80"/>
  <c r="Z92" i="80"/>
  <c r="M94" i="80"/>
  <c r="R94" i="80"/>
  <c r="V94" i="80"/>
  <c r="Z94" i="80"/>
  <c r="M96" i="80"/>
  <c r="R96" i="80"/>
  <c r="V96" i="80"/>
  <c r="Z96" i="80"/>
  <c r="M98" i="80"/>
  <c r="R98" i="80"/>
  <c r="V98" i="80"/>
  <c r="Z98" i="80"/>
  <c r="M100" i="80"/>
  <c r="R100" i="80"/>
  <c r="V100" i="80"/>
  <c r="Z100" i="80"/>
  <c r="M102" i="80"/>
  <c r="R102" i="80"/>
  <c r="V102" i="80"/>
  <c r="Z102" i="80"/>
  <c r="M104" i="80"/>
  <c r="R104" i="80"/>
  <c r="V104" i="80"/>
  <c r="Z104" i="80"/>
  <c r="M106" i="80"/>
  <c r="R106" i="80"/>
  <c r="V106" i="80"/>
  <c r="Z106" i="80"/>
  <c r="M108" i="80"/>
  <c r="R108" i="80"/>
  <c r="V108" i="80"/>
  <c r="Z108" i="80"/>
  <c r="AD108" i="80"/>
  <c r="K126" i="80"/>
  <c r="P126" i="80"/>
  <c r="T126" i="80"/>
  <c r="X126" i="80"/>
  <c r="AB126" i="80"/>
  <c r="I136" i="80"/>
  <c r="AB128" i="80"/>
  <c r="X128" i="80"/>
  <c r="T128" i="80"/>
  <c r="P128" i="80"/>
  <c r="K128" i="80"/>
  <c r="R128" i="80"/>
  <c r="Z128" i="80"/>
  <c r="AB130" i="80"/>
  <c r="X130" i="80"/>
  <c r="T130" i="80"/>
  <c r="P130" i="80"/>
  <c r="K130" i="80"/>
  <c r="R130" i="80"/>
  <c r="Z130" i="80"/>
  <c r="AB132" i="80"/>
  <c r="X132" i="80"/>
  <c r="T132" i="80"/>
  <c r="P132" i="80"/>
  <c r="K132" i="80"/>
  <c r="R132" i="80"/>
  <c r="Z132" i="80"/>
  <c r="AD134" i="80"/>
  <c r="AB134" i="80"/>
  <c r="X134" i="80"/>
  <c r="T134" i="80"/>
  <c r="P134" i="80"/>
  <c r="K134" i="80"/>
  <c r="R134" i="80"/>
  <c r="Z134" i="80"/>
  <c r="AB141" i="80"/>
  <c r="X141" i="80"/>
  <c r="T141" i="80"/>
  <c r="P141" i="80"/>
  <c r="K141" i="80"/>
  <c r="AD141" i="80"/>
  <c r="V141" i="80"/>
  <c r="M141" i="80"/>
  <c r="Z141" i="80"/>
  <c r="AB145" i="80"/>
  <c r="X145" i="80"/>
  <c r="T145" i="80"/>
  <c r="P145" i="80"/>
  <c r="K145" i="80"/>
  <c r="AD145" i="80"/>
  <c r="V145" i="80"/>
  <c r="M145" i="80"/>
  <c r="Z145" i="80"/>
  <c r="M149" i="80"/>
  <c r="R149" i="80"/>
  <c r="V149" i="80"/>
  <c r="Z149" i="80"/>
  <c r="AD149" i="80"/>
  <c r="M111" i="80"/>
  <c r="R111" i="80"/>
  <c r="V111" i="80"/>
  <c r="Z111" i="80"/>
  <c r="M113" i="80"/>
  <c r="R113" i="80"/>
  <c r="V113" i="80"/>
  <c r="Z113" i="80"/>
  <c r="M115" i="80"/>
  <c r="R115" i="80"/>
  <c r="V115" i="80"/>
  <c r="Z115" i="80"/>
  <c r="M119" i="80"/>
  <c r="R119" i="80"/>
  <c r="V119" i="80"/>
  <c r="Z119" i="80"/>
  <c r="AD119" i="80"/>
  <c r="M121" i="80"/>
  <c r="R121" i="80"/>
  <c r="V121" i="80"/>
  <c r="Z121" i="80"/>
  <c r="M123" i="80"/>
  <c r="R123" i="80"/>
  <c r="V123" i="80"/>
  <c r="Z123" i="80"/>
  <c r="M125" i="80"/>
  <c r="R125" i="80"/>
  <c r="V125" i="80"/>
  <c r="Z125" i="80"/>
  <c r="M129" i="80"/>
  <c r="R129" i="80"/>
  <c r="V129" i="80"/>
  <c r="Z129" i="80"/>
  <c r="M131" i="80"/>
  <c r="R131" i="80"/>
  <c r="V131" i="80"/>
  <c r="Z131" i="80"/>
  <c r="M133" i="80"/>
  <c r="R133" i="80"/>
  <c r="V133" i="80"/>
  <c r="Z133" i="80"/>
  <c r="K149" i="80"/>
  <c r="P149" i="80"/>
  <c r="T149" i="80"/>
  <c r="X149" i="80"/>
  <c r="AB149" i="80"/>
  <c r="M138" i="80"/>
  <c r="R138" i="80"/>
  <c r="V138" i="80"/>
  <c r="Z138" i="80"/>
  <c r="AD138" i="80"/>
  <c r="M140" i="80"/>
  <c r="R140" i="80"/>
  <c r="V140" i="80"/>
  <c r="Z140" i="80"/>
  <c r="M142" i="80"/>
  <c r="R142" i="80"/>
  <c r="V142" i="80"/>
  <c r="Z142" i="80"/>
  <c r="M144" i="80"/>
  <c r="R144" i="80"/>
  <c r="V144" i="80"/>
  <c r="Z144" i="80"/>
  <c r="M146" i="80"/>
  <c r="R146" i="80"/>
  <c r="V146" i="80"/>
  <c r="Z146" i="80"/>
  <c r="M148" i="80"/>
  <c r="R148" i="80"/>
  <c r="V148" i="80"/>
  <c r="Z148" i="80"/>
  <c r="Z151" i="80" l="1"/>
  <c r="M151" i="80"/>
  <c r="AD136" i="80"/>
  <c r="AB136" i="80"/>
  <c r="Z136" i="80"/>
  <c r="X136" i="80"/>
  <c r="V136" i="80"/>
  <c r="T136" i="80"/>
  <c r="R136" i="80"/>
  <c r="P136" i="80"/>
  <c r="M136" i="80"/>
  <c r="K136" i="80"/>
  <c r="AD117" i="80"/>
  <c r="AB117" i="80"/>
  <c r="Z117" i="80"/>
  <c r="X117" i="80"/>
  <c r="V117" i="80"/>
  <c r="T117" i="80"/>
  <c r="R117" i="80"/>
  <c r="P117" i="80"/>
  <c r="M117" i="80"/>
  <c r="K117" i="80"/>
  <c r="X87" i="80"/>
  <c r="P87" i="80"/>
  <c r="AB151" i="80"/>
  <c r="R151" i="80"/>
  <c r="Z87" i="80"/>
  <c r="AB75" i="80"/>
  <c r="T75" i="80"/>
  <c r="I151" i="80"/>
  <c r="X151" i="80" s="1"/>
  <c r="AD32" i="80"/>
  <c r="AB32" i="80"/>
  <c r="Z32" i="80"/>
  <c r="X32" i="80"/>
  <c r="V32" i="80"/>
  <c r="T32" i="80"/>
  <c r="R32" i="80"/>
  <c r="P32" i="80"/>
  <c r="M32" i="80"/>
  <c r="K32" i="80"/>
  <c r="K151" i="80" l="1"/>
  <c r="V151" i="80"/>
  <c r="P151" i="80"/>
  <c r="T151" i="80"/>
  <c r="AD151" i="80"/>
  <c r="AB149" i="79" l="1"/>
  <c r="Y149" i="79"/>
  <c r="W149" i="79"/>
  <c r="U149" i="79"/>
  <c r="S149" i="79"/>
  <c r="Q149" i="79"/>
  <c r="O149" i="79"/>
  <c r="M149" i="79"/>
  <c r="L149" i="79"/>
  <c r="K149" i="79"/>
  <c r="J149" i="79"/>
  <c r="I149" i="79"/>
  <c r="H149" i="79"/>
  <c r="G149" i="79"/>
  <c r="F149" i="79"/>
  <c r="E149" i="79"/>
  <c r="D149" i="79"/>
  <c r="AA148" i="79"/>
  <c r="Z148" i="79"/>
  <c r="X148" i="79"/>
  <c r="V148" i="79"/>
  <c r="T148" i="79"/>
  <c r="R148" i="79"/>
  <c r="P148" i="79"/>
  <c r="AA147" i="79"/>
  <c r="T147" i="79"/>
  <c r="P147" i="79"/>
  <c r="AA146" i="79"/>
  <c r="Z146" i="79"/>
  <c r="X146" i="79"/>
  <c r="V146" i="79"/>
  <c r="T146" i="79"/>
  <c r="R146" i="79"/>
  <c r="P146" i="79"/>
  <c r="AA145" i="79"/>
  <c r="X145" i="79"/>
  <c r="T145" i="79"/>
  <c r="P145" i="79"/>
  <c r="AA144" i="79"/>
  <c r="Z144" i="79"/>
  <c r="X144" i="79"/>
  <c r="V144" i="79"/>
  <c r="T144" i="79"/>
  <c r="R144" i="79"/>
  <c r="P144" i="79"/>
  <c r="AA143" i="79"/>
  <c r="T143" i="79"/>
  <c r="P143" i="79"/>
  <c r="AA142" i="79"/>
  <c r="Z142" i="79"/>
  <c r="X142" i="79"/>
  <c r="V142" i="79"/>
  <c r="T142" i="79"/>
  <c r="R142" i="79"/>
  <c r="P142" i="79"/>
  <c r="AA141" i="79"/>
  <c r="X141" i="79"/>
  <c r="T141" i="79"/>
  <c r="P141" i="79"/>
  <c r="AA140" i="79"/>
  <c r="Z140" i="79"/>
  <c r="X140" i="79"/>
  <c r="V140" i="79"/>
  <c r="T140" i="79"/>
  <c r="R140" i="79"/>
  <c r="P140" i="79"/>
  <c r="AA139" i="79"/>
  <c r="T139" i="79"/>
  <c r="P139" i="79"/>
  <c r="AA138" i="79"/>
  <c r="Z138" i="79"/>
  <c r="X138" i="79"/>
  <c r="V138" i="79"/>
  <c r="T138" i="79"/>
  <c r="R138" i="79"/>
  <c r="P138" i="79"/>
  <c r="P149" i="79" s="1"/>
  <c r="AB136" i="79"/>
  <c r="Y136" i="79"/>
  <c r="W136" i="79"/>
  <c r="U136" i="79"/>
  <c r="S136" i="79"/>
  <c r="Q136" i="79"/>
  <c r="O136" i="79"/>
  <c r="M136" i="79"/>
  <c r="L136" i="79"/>
  <c r="K136" i="79"/>
  <c r="J136" i="79"/>
  <c r="I136" i="79"/>
  <c r="H136" i="79"/>
  <c r="G136" i="79"/>
  <c r="F136" i="79"/>
  <c r="E136" i="79"/>
  <c r="D136" i="79"/>
  <c r="AA135" i="79"/>
  <c r="T135" i="79"/>
  <c r="P135" i="79"/>
  <c r="AA134" i="79"/>
  <c r="Z134" i="79"/>
  <c r="X134" i="79"/>
  <c r="V134" i="79"/>
  <c r="T134" i="79"/>
  <c r="R134" i="79"/>
  <c r="P134" i="79"/>
  <c r="AA133" i="79"/>
  <c r="X133" i="79"/>
  <c r="T133" i="79"/>
  <c r="P133" i="79"/>
  <c r="AA132" i="79"/>
  <c r="Z132" i="79"/>
  <c r="X132" i="79"/>
  <c r="V132" i="79"/>
  <c r="T132" i="79"/>
  <c r="R132" i="79"/>
  <c r="P132" i="79"/>
  <c r="AA131" i="79"/>
  <c r="T131" i="79"/>
  <c r="P131" i="79"/>
  <c r="AA130" i="79"/>
  <c r="Z130" i="79"/>
  <c r="X130" i="79"/>
  <c r="V130" i="79"/>
  <c r="T130" i="79"/>
  <c r="R130" i="79"/>
  <c r="P130" i="79"/>
  <c r="AA129" i="79"/>
  <c r="X129" i="79"/>
  <c r="T129" i="79"/>
  <c r="P129" i="79"/>
  <c r="P136" i="79" s="1"/>
  <c r="AA128" i="79"/>
  <c r="Z128" i="79"/>
  <c r="X128" i="79"/>
  <c r="V128" i="79"/>
  <c r="T128" i="79"/>
  <c r="R128" i="79"/>
  <c r="P128" i="79"/>
  <c r="AB126" i="79"/>
  <c r="Y126" i="79"/>
  <c r="W126" i="79"/>
  <c r="U126" i="79"/>
  <c r="S126" i="79"/>
  <c r="Q126" i="79"/>
  <c r="O126" i="79"/>
  <c r="M126" i="79"/>
  <c r="L126" i="79"/>
  <c r="K126" i="79"/>
  <c r="J126" i="79"/>
  <c r="I126" i="79"/>
  <c r="H126" i="79"/>
  <c r="G126" i="79"/>
  <c r="F126" i="79"/>
  <c r="E126" i="79"/>
  <c r="D126" i="79"/>
  <c r="AA125" i="79"/>
  <c r="X125" i="79"/>
  <c r="T125" i="79"/>
  <c r="P125" i="79"/>
  <c r="AA124" i="79"/>
  <c r="Z124" i="79"/>
  <c r="X124" i="79"/>
  <c r="V124" i="79"/>
  <c r="T124" i="79"/>
  <c r="R124" i="79"/>
  <c r="P124" i="79"/>
  <c r="AA123" i="79"/>
  <c r="T123" i="79"/>
  <c r="P123" i="79"/>
  <c r="AA122" i="79"/>
  <c r="Z122" i="79"/>
  <c r="X122" i="79"/>
  <c r="V122" i="79"/>
  <c r="T122" i="79"/>
  <c r="R122" i="79"/>
  <c r="P122" i="79"/>
  <c r="AA121" i="79"/>
  <c r="X121" i="79"/>
  <c r="T121" i="79"/>
  <c r="P121" i="79"/>
  <c r="AA120" i="79"/>
  <c r="Z120" i="79"/>
  <c r="X120" i="79"/>
  <c r="V120" i="79"/>
  <c r="T120" i="79"/>
  <c r="R120" i="79"/>
  <c r="P120" i="79"/>
  <c r="AA119" i="79"/>
  <c r="T119" i="79"/>
  <c r="P119" i="79"/>
  <c r="P126" i="79" s="1"/>
  <c r="AB117" i="79"/>
  <c r="Y117" i="79"/>
  <c r="W117" i="79"/>
  <c r="U117" i="79"/>
  <c r="S117" i="79"/>
  <c r="Q117" i="79"/>
  <c r="O117" i="79"/>
  <c r="M117" i="79"/>
  <c r="L117" i="79"/>
  <c r="K117" i="79"/>
  <c r="J117" i="79"/>
  <c r="I117" i="79"/>
  <c r="H117" i="79"/>
  <c r="G117" i="79"/>
  <c r="F117" i="79"/>
  <c r="E117" i="79"/>
  <c r="D117" i="79"/>
  <c r="AA116" i="79"/>
  <c r="Z116" i="79"/>
  <c r="X116" i="79"/>
  <c r="V116" i="79"/>
  <c r="T116" i="79"/>
  <c r="R116" i="79"/>
  <c r="P116" i="79"/>
  <c r="AA115" i="79"/>
  <c r="X115" i="79"/>
  <c r="T115" i="79"/>
  <c r="P115" i="79"/>
  <c r="AA114" i="79"/>
  <c r="Z114" i="79"/>
  <c r="X114" i="79"/>
  <c r="V114" i="79"/>
  <c r="T114" i="79"/>
  <c r="R114" i="79"/>
  <c r="P114" i="79"/>
  <c r="AA113" i="79"/>
  <c r="P113" i="79"/>
  <c r="AA112" i="79"/>
  <c r="T112" i="79"/>
  <c r="P112" i="79"/>
  <c r="AA111" i="79"/>
  <c r="Z111" i="79"/>
  <c r="X111" i="79"/>
  <c r="V111" i="79"/>
  <c r="T111" i="79"/>
  <c r="R111" i="79"/>
  <c r="P111" i="79"/>
  <c r="AA110" i="79"/>
  <c r="X110" i="79"/>
  <c r="T110" i="79"/>
  <c r="P110" i="79"/>
  <c r="P117" i="79" s="1"/>
  <c r="AB108" i="79"/>
  <c r="Y108" i="79"/>
  <c r="W108" i="79"/>
  <c r="U108" i="79"/>
  <c r="S108" i="79"/>
  <c r="Q108" i="79"/>
  <c r="O108" i="79"/>
  <c r="M108" i="79"/>
  <c r="L108" i="79"/>
  <c r="K108" i="79"/>
  <c r="J108" i="79"/>
  <c r="I108" i="79"/>
  <c r="H108" i="79"/>
  <c r="G108" i="79"/>
  <c r="F108" i="79"/>
  <c r="E108" i="79"/>
  <c r="D108" i="79"/>
  <c r="AA107" i="79"/>
  <c r="Z107" i="79"/>
  <c r="X107" i="79"/>
  <c r="V107" i="79"/>
  <c r="T107" i="79"/>
  <c r="R107" i="79"/>
  <c r="P107" i="79"/>
  <c r="AA106" i="79"/>
  <c r="T106" i="79"/>
  <c r="P106" i="79"/>
  <c r="AA105" i="79"/>
  <c r="Z105" i="79"/>
  <c r="X105" i="79"/>
  <c r="V105" i="79"/>
  <c r="T105" i="79"/>
  <c r="R105" i="79"/>
  <c r="P105" i="79"/>
  <c r="AA104" i="79"/>
  <c r="X104" i="79"/>
  <c r="T104" i="79"/>
  <c r="R104" i="79"/>
  <c r="P104" i="79"/>
  <c r="AA103" i="79"/>
  <c r="Z103" i="79" s="1"/>
  <c r="X103" i="79"/>
  <c r="T103" i="79"/>
  <c r="P103" i="79"/>
  <c r="AA102" i="79"/>
  <c r="Z102" i="79"/>
  <c r="X102" i="79"/>
  <c r="V102" i="79"/>
  <c r="T102" i="79"/>
  <c r="R102" i="79"/>
  <c r="P102" i="79"/>
  <c r="AA101" i="79"/>
  <c r="Z101" i="79" s="1"/>
  <c r="X101" i="79"/>
  <c r="T101" i="79"/>
  <c r="P101" i="79"/>
  <c r="AA100" i="79"/>
  <c r="Z100" i="79"/>
  <c r="X100" i="79"/>
  <c r="V100" i="79"/>
  <c r="T100" i="79"/>
  <c r="R100" i="79"/>
  <c r="P100" i="79"/>
  <c r="AA99" i="79"/>
  <c r="Z99" i="79" s="1"/>
  <c r="X99" i="79"/>
  <c r="T99" i="79"/>
  <c r="P99" i="79"/>
  <c r="AA98" i="79"/>
  <c r="Z98" i="79"/>
  <c r="X98" i="79"/>
  <c r="V98" i="79"/>
  <c r="T98" i="79"/>
  <c r="R98" i="79"/>
  <c r="P98" i="79"/>
  <c r="AA97" i="79"/>
  <c r="Z97" i="79" s="1"/>
  <c r="X97" i="79"/>
  <c r="T97" i="79"/>
  <c r="P97" i="79"/>
  <c r="AA96" i="79"/>
  <c r="Z96" i="79"/>
  <c r="X96" i="79"/>
  <c r="V96" i="79"/>
  <c r="T96" i="79"/>
  <c r="R96" i="79"/>
  <c r="P96" i="79"/>
  <c r="AA95" i="79"/>
  <c r="Z95" i="79" s="1"/>
  <c r="X95" i="79"/>
  <c r="T95" i="79"/>
  <c r="P95" i="79"/>
  <c r="AA94" i="79"/>
  <c r="Z94" i="79"/>
  <c r="X94" i="79"/>
  <c r="V94" i="79"/>
  <c r="T94" i="79"/>
  <c r="R94" i="79"/>
  <c r="P94" i="79"/>
  <c r="AA93" i="79"/>
  <c r="Z93" i="79" s="1"/>
  <c r="X93" i="79"/>
  <c r="T93" i="79"/>
  <c r="P93" i="79"/>
  <c r="AA92" i="79"/>
  <c r="Z92" i="79"/>
  <c r="X92" i="79"/>
  <c r="V92" i="79"/>
  <c r="T92" i="79"/>
  <c r="R92" i="79"/>
  <c r="P92" i="79"/>
  <c r="AA91" i="79"/>
  <c r="Z91" i="79" s="1"/>
  <c r="X91" i="79"/>
  <c r="T91" i="79"/>
  <c r="P91" i="79"/>
  <c r="AA90" i="79"/>
  <c r="Z90" i="79"/>
  <c r="X90" i="79"/>
  <c r="V90" i="79"/>
  <c r="T90" i="79"/>
  <c r="R90" i="79"/>
  <c r="P90" i="79"/>
  <c r="AA89" i="79"/>
  <c r="Z89" i="79" s="1"/>
  <c r="X89" i="79"/>
  <c r="T89" i="79"/>
  <c r="P89" i="79"/>
  <c r="P108" i="79" s="1"/>
  <c r="AB87" i="79"/>
  <c r="Y87" i="79"/>
  <c r="W87" i="79"/>
  <c r="U87" i="79"/>
  <c r="S87" i="79"/>
  <c r="Q87" i="79"/>
  <c r="O87" i="79"/>
  <c r="M87" i="79"/>
  <c r="L87" i="79"/>
  <c r="K87" i="79"/>
  <c r="J87" i="79"/>
  <c r="I87" i="79"/>
  <c r="H87" i="79"/>
  <c r="G87" i="79"/>
  <c r="F87" i="79"/>
  <c r="E87" i="79"/>
  <c r="D87" i="79"/>
  <c r="AA86" i="79"/>
  <c r="Z86" i="79"/>
  <c r="X86" i="79"/>
  <c r="V86" i="79"/>
  <c r="T86" i="79"/>
  <c r="R86" i="79"/>
  <c r="P86" i="79"/>
  <c r="AA85" i="79"/>
  <c r="Z85" i="79" s="1"/>
  <c r="X85" i="79"/>
  <c r="T85" i="79"/>
  <c r="P85" i="79"/>
  <c r="AA84" i="79"/>
  <c r="Z84" i="79"/>
  <c r="X84" i="79"/>
  <c r="V84" i="79"/>
  <c r="T84" i="79"/>
  <c r="R84" i="79"/>
  <c r="P84" i="79"/>
  <c r="AA83" i="79"/>
  <c r="Z83" i="79" s="1"/>
  <c r="X83" i="79"/>
  <c r="T83" i="79"/>
  <c r="P83" i="79"/>
  <c r="AA82" i="79"/>
  <c r="Z82" i="79"/>
  <c r="X82" i="79"/>
  <c r="V82" i="79"/>
  <c r="T82" i="79"/>
  <c r="R82" i="79"/>
  <c r="P82" i="79"/>
  <c r="AA81" i="79"/>
  <c r="Z81" i="79" s="1"/>
  <c r="X81" i="79"/>
  <c r="T81" i="79"/>
  <c r="P81" i="79"/>
  <c r="AA80" i="79"/>
  <c r="Z80" i="79"/>
  <c r="X80" i="79"/>
  <c r="V80" i="79"/>
  <c r="T80" i="79"/>
  <c r="R80" i="79"/>
  <c r="P80" i="79"/>
  <c r="AA79" i="79"/>
  <c r="Z79" i="79" s="1"/>
  <c r="X79" i="79"/>
  <c r="T79" i="79"/>
  <c r="P79" i="79"/>
  <c r="AA78" i="79"/>
  <c r="Z78" i="79"/>
  <c r="X78" i="79"/>
  <c r="V78" i="79"/>
  <c r="T78" i="79"/>
  <c r="R78" i="79"/>
  <c r="P78" i="79"/>
  <c r="AA77" i="79"/>
  <c r="Z77" i="79" s="1"/>
  <c r="X77" i="79"/>
  <c r="T77" i="79"/>
  <c r="P77" i="79"/>
  <c r="P87" i="79" s="1"/>
  <c r="AB75" i="79"/>
  <c r="Y75" i="79"/>
  <c r="W75" i="79"/>
  <c r="U75" i="79"/>
  <c r="S75" i="79"/>
  <c r="Q75" i="79"/>
  <c r="O75" i="79"/>
  <c r="M75" i="79"/>
  <c r="L75" i="79"/>
  <c r="K75" i="79"/>
  <c r="J75" i="79"/>
  <c r="I75" i="79"/>
  <c r="H75" i="79"/>
  <c r="G75" i="79"/>
  <c r="F75" i="79"/>
  <c r="E75" i="79"/>
  <c r="D75" i="79"/>
  <c r="AA74" i="79"/>
  <c r="Z74" i="79"/>
  <c r="X74" i="79"/>
  <c r="V74" i="79"/>
  <c r="T74" i="79"/>
  <c r="R74" i="79"/>
  <c r="P74" i="79"/>
  <c r="AA73" i="79"/>
  <c r="Z73" i="79" s="1"/>
  <c r="X73" i="79"/>
  <c r="T73" i="79"/>
  <c r="P73" i="79"/>
  <c r="AA72" i="79"/>
  <c r="Z72" i="79"/>
  <c r="X72" i="79"/>
  <c r="V72" i="79"/>
  <c r="T72" i="79"/>
  <c r="R72" i="79"/>
  <c r="P72" i="79"/>
  <c r="AA71" i="79"/>
  <c r="Z71" i="79" s="1"/>
  <c r="X71" i="79"/>
  <c r="T71" i="79"/>
  <c r="P71" i="79"/>
  <c r="AA70" i="79"/>
  <c r="Z70" i="79"/>
  <c r="X70" i="79"/>
  <c r="V70" i="79"/>
  <c r="T70" i="79"/>
  <c r="R70" i="79"/>
  <c r="P70" i="79"/>
  <c r="AA69" i="79"/>
  <c r="Z69" i="79" s="1"/>
  <c r="X69" i="79"/>
  <c r="T69" i="79"/>
  <c r="P69" i="79"/>
  <c r="AA68" i="79"/>
  <c r="Z68" i="79"/>
  <c r="X68" i="79"/>
  <c r="V68" i="79"/>
  <c r="T68" i="79"/>
  <c r="R68" i="79"/>
  <c r="P68" i="79"/>
  <c r="AA67" i="79"/>
  <c r="Z67" i="79" s="1"/>
  <c r="X67" i="79"/>
  <c r="T67" i="79"/>
  <c r="P67" i="79"/>
  <c r="AA66" i="79"/>
  <c r="Z66" i="79"/>
  <c r="X66" i="79"/>
  <c r="V66" i="79"/>
  <c r="T66" i="79"/>
  <c r="R66" i="79"/>
  <c r="P66" i="79"/>
  <c r="AA65" i="79"/>
  <c r="Z65" i="79" s="1"/>
  <c r="X65" i="79"/>
  <c r="T65" i="79"/>
  <c r="P65" i="79"/>
  <c r="AA64" i="79"/>
  <c r="Z64" i="79"/>
  <c r="X64" i="79"/>
  <c r="V64" i="79"/>
  <c r="T64" i="79"/>
  <c r="R64" i="79"/>
  <c r="P64" i="79"/>
  <c r="AA63" i="79"/>
  <c r="Z63" i="79" s="1"/>
  <c r="X63" i="79"/>
  <c r="T63" i="79"/>
  <c r="P63" i="79"/>
  <c r="AA62" i="79"/>
  <c r="Z62" i="79"/>
  <c r="X62" i="79"/>
  <c r="V62" i="79"/>
  <c r="T62" i="79"/>
  <c r="R62" i="79"/>
  <c r="P62" i="79"/>
  <c r="AA61" i="79"/>
  <c r="Z61" i="79" s="1"/>
  <c r="X61" i="79"/>
  <c r="T61" i="79"/>
  <c r="P61" i="79"/>
  <c r="AA60" i="79"/>
  <c r="Z60" i="79"/>
  <c r="X60" i="79"/>
  <c r="V60" i="79"/>
  <c r="T60" i="79"/>
  <c r="R60" i="79"/>
  <c r="P60" i="79"/>
  <c r="AA59" i="79"/>
  <c r="Z59" i="79" s="1"/>
  <c r="X59" i="79"/>
  <c r="T59" i="79"/>
  <c r="P59" i="79"/>
  <c r="AA58" i="79"/>
  <c r="Z58" i="79"/>
  <c r="X58" i="79"/>
  <c r="V58" i="79"/>
  <c r="T58" i="79"/>
  <c r="R58" i="79"/>
  <c r="P58" i="79"/>
  <c r="AA57" i="79"/>
  <c r="Z57" i="79" s="1"/>
  <c r="X57" i="79"/>
  <c r="T57" i="79"/>
  <c r="P57" i="79"/>
  <c r="AA56" i="79"/>
  <c r="Z56" i="79"/>
  <c r="X56" i="79"/>
  <c r="V56" i="79"/>
  <c r="T56" i="79"/>
  <c r="R56" i="79"/>
  <c r="P56" i="79"/>
  <c r="AA55" i="79"/>
  <c r="Z55" i="79" s="1"/>
  <c r="X55" i="79"/>
  <c r="T55" i="79"/>
  <c r="P55" i="79"/>
  <c r="P75" i="79" s="1"/>
  <c r="AB53" i="79"/>
  <c r="Y53" i="79"/>
  <c r="W53" i="79"/>
  <c r="U53" i="79"/>
  <c r="S53" i="79"/>
  <c r="Q53" i="79"/>
  <c r="O53" i="79"/>
  <c r="M53" i="79"/>
  <c r="L53" i="79"/>
  <c r="K53" i="79"/>
  <c r="J53" i="79"/>
  <c r="I53" i="79"/>
  <c r="H53" i="79"/>
  <c r="G53" i="79"/>
  <c r="F53" i="79"/>
  <c r="E53" i="79"/>
  <c r="D53" i="79"/>
  <c r="AA52" i="79"/>
  <c r="Z52" i="79"/>
  <c r="X52" i="79"/>
  <c r="V52" i="79"/>
  <c r="T52" i="79"/>
  <c r="R52" i="79"/>
  <c r="P52" i="79"/>
  <c r="AA51" i="79"/>
  <c r="X51" i="79"/>
  <c r="T51" i="79"/>
  <c r="P51" i="79"/>
  <c r="AA50" i="79"/>
  <c r="Z50" i="79"/>
  <c r="X50" i="79"/>
  <c r="V50" i="79"/>
  <c r="T50" i="79"/>
  <c r="R50" i="79"/>
  <c r="P50" i="79"/>
  <c r="AA49" i="79"/>
  <c r="X49" i="79" s="1"/>
  <c r="T49" i="79"/>
  <c r="P49" i="79"/>
  <c r="AA48" i="79"/>
  <c r="Z48" i="79"/>
  <c r="X48" i="79"/>
  <c r="V48" i="79"/>
  <c r="T48" i="79"/>
  <c r="R48" i="79"/>
  <c r="P48" i="79"/>
  <c r="AA47" i="79"/>
  <c r="X47" i="79"/>
  <c r="T47" i="79"/>
  <c r="P47" i="79"/>
  <c r="AA46" i="79"/>
  <c r="Z46" i="79"/>
  <c r="X46" i="79"/>
  <c r="V46" i="79"/>
  <c r="T46" i="79"/>
  <c r="R46" i="79"/>
  <c r="P46" i="79"/>
  <c r="AA45" i="79"/>
  <c r="X45" i="79" s="1"/>
  <c r="T45" i="79"/>
  <c r="P45" i="79"/>
  <c r="AA44" i="79"/>
  <c r="Z44" i="79"/>
  <c r="X44" i="79"/>
  <c r="V44" i="79"/>
  <c r="T44" i="79"/>
  <c r="R44" i="79"/>
  <c r="P44" i="79"/>
  <c r="AA43" i="79"/>
  <c r="X43" i="79"/>
  <c r="T43" i="79"/>
  <c r="P43" i="79"/>
  <c r="AA42" i="79"/>
  <c r="Z42" i="79"/>
  <c r="X42" i="79"/>
  <c r="V42" i="79"/>
  <c r="T42" i="79"/>
  <c r="R42" i="79"/>
  <c r="P42" i="79"/>
  <c r="AA41" i="79"/>
  <c r="P41" i="79"/>
  <c r="AA40" i="79"/>
  <c r="X40" i="79" s="1"/>
  <c r="T40" i="79"/>
  <c r="P40" i="79"/>
  <c r="AA39" i="79"/>
  <c r="Z39" i="79"/>
  <c r="X39" i="79"/>
  <c r="V39" i="79"/>
  <c r="T39" i="79"/>
  <c r="R39" i="79"/>
  <c r="P39" i="79"/>
  <c r="P53" i="79" s="1"/>
  <c r="AB37" i="79"/>
  <c r="Y37" i="79"/>
  <c r="W37" i="79"/>
  <c r="U37" i="79"/>
  <c r="S37" i="79"/>
  <c r="Q37" i="79"/>
  <c r="O37" i="79"/>
  <c r="M37" i="79"/>
  <c r="L37" i="79"/>
  <c r="K37" i="79"/>
  <c r="J37" i="79"/>
  <c r="I37" i="79"/>
  <c r="H37" i="79"/>
  <c r="G37" i="79"/>
  <c r="F37" i="79"/>
  <c r="E37" i="79"/>
  <c r="D37" i="79"/>
  <c r="AA36" i="79"/>
  <c r="X36" i="79" s="1"/>
  <c r="T36" i="79"/>
  <c r="P36" i="79"/>
  <c r="AA35" i="79"/>
  <c r="Z35" i="79"/>
  <c r="X35" i="79"/>
  <c r="V35" i="79"/>
  <c r="T35" i="79"/>
  <c r="R35" i="79"/>
  <c r="P35" i="79"/>
  <c r="AA34" i="79"/>
  <c r="X34" i="79"/>
  <c r="T34" i="79"/>
  <c r="P34" i="79"/>
  <c r="P37" i="79" s="1"/>
  <c r="AB32" i="79"/>
  <c r="Y32" i="79"/>
  <c r="W32" i="79"/>
  <c r="U32" i="79"/>
  <c r="S32" i="79"/>
  <c r="Q32" i="79"/>
  <c r="O32" i="79"/>
  <c r="O151" i="79" s="1"/>
  <c r="M32" i="79"/>
  <c r="L32" i="79"/>
  <c r="L151" i="79" s="1"/>
  <c r="K32" i="79"/>
  <c r="J32" i="79"/>
  <c r="J151" i="79" s="1"/>
  <c r="I32" i="79"/>
  <c r="H32" i="79"/>
  <c r="H151" i="79" s="1"/>
  <c r="G32" i="79"/>
  <c r="F32" i="79"/>
  <c r="F151" i="79" s="1"/>
  <c r="E32" i="79"/>
  <c r="D32" i="79"/>
  <c r="D151" i="79" s="1"/>
  <c r="AA31" i="79"/>
  <c r="Z31" i="79"/>
  <c r="X31" i="79"/>
  <c r="V31" i="79"/>
  <c r="T31" i="79"/>
  <c r="R31" i="79"/>
  <c r="P31" i="79"/>
  <c r="AA30" i="79"/>
  <c r="X30" i="79" s="1"/>
  <c r="T30" i="79"/>
  <c r="P30" i="79"/>
  <c r="AA29" i="79"/>
  <c r="Z29" i="79"/>
  <c r="X29" i="79"/>
  <c r="V29" i="79"/>
  <c r="T29" i="79"/>
  <c r="R29" i="79"/>
  <c r="P29" i="79"/>
  <c r="AA28" i="79"/>
  <c r="X28" i="79"/>
  <c r="T28" i="79"/>
  <c r="P28" i="79"/>
  <c r="AA27" i="79"/>
  <c r="Z27" i="79"/>
  <c r="X27" i="79"/>
  <c r="V27" i="79"/>
  <c r="T27" i="79"/>
  <c r="R27" i="79"/>
  <c r="P27" i="79"/>
  <c r="AA26" i="79"/>
  <c r="X26" i="79" s="1"/>
  <c r="T26" i="79"/>
  <c r="P26" i="79"/>
  <c r="AA25" i="79"/>
  <c r="Z25" i="79"/>
  <c r="X25" i="79"/>
  <c r="V25" i="79"/>
  <c r="T25" i="79"/>
  <c r="R25" i="79"/>
  <c r="P25" i="79"/>
  <c r="AA24" i="79"/>
  <c r="X24" i="79"/>
  <c r="T24" i="79"/>
  <c r="P24" i="79"/>
  <c r="AA23" i="79"/>
  <c r="Z23" i="79"/>
  <c r="X23" i="79"/>
  <c r="V23" i="79"/>
  <c r="T23" i="79"/>
  <c r="R23" i="79"/>
  <c r="P23" i="79"/>
  <c r="AA22" i="79"/>
  <c r="Z22" i="79" s="1"/>
  <c r="X22" i="79"/>
  <c r="T22" i="79"/>
  <c r="P22" i="79"/>
  <c r="AA21" i="79"/>
  <c r="Z21" i="79"/>
  <c r="X21" i="79"/>
  <c r="V21" i="79"/>
  <c r="T21" i="79"/>
  <c r="R21" i="79"/>
  <c r="P21" i="79"/>
  <c r="AA20" i="79"/>
  <c r="Z20" i="79" s="1"/>
  <c r="X20" i="79"/>
  <c r="T20" i="79"/>
  <c r="P20" i="79"/>
  <c r="AA19" i="79"/>
  <c r="Z19" i="79"/>
  <c r="X19" i="79"/>
  <c r="V19" i="79"/>
  <c r="T19" i="79"/>
  <c r="R19" i="79"/>
  <c r="P19" i="79"/>
  <c r="AA18" i="79"/>
  <c r="Z18" i="79" s="1"/>
  <c r="X18" i="79"/>
  <c r="T18" i="79"/>
  <c r="P18" i="79"/>
  <c r="AA17" i="79"/>
  <c r="Z17" i="79"/>
  <c r="X17" i="79"/>
  <c r="V17" i="79"/>
  <c r="T17" i="79"/>
  <c r="R17" i="79"/>
  <c r="P17" i="79"/>
  <c r="AA16" i="79"/>
  <c r="Z16" i="79" s="1"/>
  <c r="X16" i="79"/>
  <c r="T16" i="79"/>
  <c r="P16" i="79"/>
  <c r="AA15" i="79"/>
  <c r="Z15" i="79"/>
  <c r="X15" i="79"/>
  <c r="V15" i="79"/>
  <c r="T15" i="79"/>
  <c r="R15" i="79"/>
  <c r="P15" i="79"/>
  <c r="AA14" i="79"/>
  <c r="Z14" i="79" s="1"/>
  <c r="X14" i="79"/>
  <c r="T14" i="79"/>
  <c r="P14" i="79"/>
  <c r="AA13" i="79"/>
  <c r="Z13" i="79"/>
  <c r="X13" i="79"/>
  <c r="V13" i="79"/>
  <c r="T13" i="79"/>
  <c r="R13" i="79"/>
  <c r="P13" i="79"/>
  <c r="AA12" i="79"/>
  <c r="Z12" i="79" s="1"/>
  <c r="X12" i="79"/>
  <c r="T12" i="79"/>
  <c r="P12" i="79"/>
  <c r="AA11" i="79"/>
  <c r="Z11" i="79"/>
  <c r="X11" i="79"/>
  <c r="V11" i="79"/>
  <c r="T11" i="79"/>
  <c r="R11" i="79"/>
  <c r="P11" i="79"/>
  <c r="AA10" i="79"/>
  <c r="Z10" i="79" s="1"/>
  <c r="X10" i="79"/>
  <c r="T10" i="79"/>
  <c r="P10" i="79"/>
  <c r="AA9" i="79"/>
  <c r="Z9" i="79"/>
  <c r="X9" i="79"/>
  <c r="V9" i="79"/>
  <c r="T9" i="79"/>
  <c r="R9" i="79"/>
  <c r="P9" i="79"/>
  <c r="AA8" i="79"/>
  <c r="Z8" i="79" s="1"/>
  <c r="X8" i="79"/>
  <c r="T8" i="79"/>
  <c r="P8" i="79"/>
  <c r="AA7" i="79"/>
  <c r="AA32" i="79" s="1"/>
  <c r="Z7" i="79"/>
  <c r="X7" i="79"/>
  <c r="V7" i="79"/>
  <c r="T7" i="79"/>
  <c r="R7" i="79"/>
  <c r="P7" i="79"/>
  <c r="P32" i="79" l="1"/>
  <c r="P151" i="79" s="1"/>
  <c r="R8" i="79"/>
  <c r="V8" i="79"/>
  <c r="R10" i="79"/>
  <c r="V10" i="79"/>
  <c r="R12" i="79"/>
  <c r="V12" i="79"/>
  <c r="R14" i="79"/>
  <c r="V14" i="79"/>
  <c r="R16" i="79"/>
  <c r="V16" i="79"/>
  <c r="R18" i="79"/>
  <c r="V18" i="79"/>
  <c r="R20" i="79"/>
  <c r="V20" i="79"/>
  <c r="R22" i="79"/>
  <c r="V22" i="79"/>
  <c r="Z24" i="79"/>
  <c r="V24" i="79"/>
  <c r="R24" i="79"/>
  <c r="Z28" i="79"/>
  <c r="V28" i="79"/>
  <c r="R28" i="79"/>
  <c r="R32" i="79"/>
  <c r="Q151" i="79"/>
  <c r="V32" i="79"/>
  <c r="U151" i="79"/>
  <c r="Z32" i="79"/>
  <c r="Y151" i="79"/>
  <c r="AA37" i="79"/>
  <c r="Z34" i="79"/>
  <c r="V34" i="79"/>
  <c r="R34" i="79"/>
  <c r="Z43" i="79"/>
  <c r="V43" i="79"/>
  <c r="R43" i="79"/>
  <c r="Z47" i="79"/>
  <c r="V47" i="79"/>
  <c r="R47" i="79"/>
  <c r="Z51" i="79"/>
  <c r="V51" i="79"/>
  <c r="R51" i="79"/>
  <c r="Z26" i="79"/>
  <c r="V26" i="79"/>
  <c r="R26" i="79"/>
  <c r="Z30" i="79"/>
  <c r="V30" i="79"/>
  <c r="R30" i="79"/>
  <c r="S151" i="79"/>
  <c r="T32" i="79"/>
  <c r="W151" i="79"/>
  <c r="X32" i="79"/>
  <c r="Z36" i="79"/>
  <c r="V36" i="79"/>
  <c r="R36" i="79"/>
  <c r="Z40" i="79"/>
  <c r="V40" i="79"/>
  <c r="R40" i="79"/>
  <c r="AA53" i="79"/>
  <c r="X53" i="79" s="1"/>
  <c r="Z45" i="79"/>
  <c r="V45" i="79"/>
  <c r="R45" i="79"/>
  <c r="Z49" i="79"/>
  <c r="V49" i="79"/>
  <c r="R49" i="79"/>
  <c r="V53" i="79"/>
  <c r="T87" i="79"/>
  <c r="AA75" i="79"/>
  <c r="V75" i="79" s="1"/>
  <c r="AA87" i="79"/>
  <c r="R87" i="79" s="1"/>
  <c r="Z106" i="79"/>
  <c r="V106" i="79"/>
  <c r="R106" i="79"/>
  <c r="X108" i="79"/>
  <c r="AA108" i="79"/>
  <c r="T108" i="79" s="1"/>
  <c r="Z112" i="79"/>
  <c r="V112" i="79"/>
  <c r="R112" i="79"/>
  <c r="AA126" i="79"/>
  <c r="Z119" i="79"/>
  <c r="V119" i="79"/>
  <c r="R119" i="79"/>
  <c r="Z123" i="79"/>
  <c r="V123" i="79"/>
  <c r="R123" i="79"/>
  <c r="Z131" i="79"/>
  <c r="V131" i="79"/>
  <c r="R131" i="79"/>
  <c r="Z135" i="79"/>
  <c r="V135" i="79"/>
  <c r="R135" i="79"/>
  <c r="Z139" i="79"/>
  <c r="V139" i="79"/>
  <c r="R139" i="79"/>
  <c r="Z143" i="79"/>
  <c r="V143" i="79"/>
  <c r="R143" i="79"/>
  <c r="Z147" i="79"/>
  <c r="V147" i="79"/>
  <c r="R147" i="79"/>
  <c r="AA149" i="79"/>
  <c r="X149" i="79" s="1"/>
  <c r="E151" i="79"/>
  <c r="G151" i="79"/>
  <c r="I151" i="79"/>
  <c r="K151" i="79"/>
  <c r="M151" i="79"/>
  <c r="AB151" i="79"/>
  <c r="R55" i="79"/>
  <c r="V55" i="79"/>
  <c r="R57" i="79"/>
  <c r="V57" i="79"/>
  <c r="R59" i="79"/>
  <c r="V59" i="79"/>
  <c r="R61" i="79"/>
  <c r="V61" i="79"/>
  <c r="R63" i="79"/>
  <c r="V63" i="79"/>
  <c r="R65" i="79"/>
  <c r="V65" i="79"/>
  <c r="R67" i="79"/>
  <c r="V67" i="79"/>
  <c r="R69" i="79"/>
  <c r="V69" i="79"/>
  <c r="R71" i="79"/>
  <c r="V71" i="79"/>
  <c r="R73" i="79"/>
  <c r="V73" i="79"/>
  <c r="R77" i="79"/>
  <c r="V77" i="79"/>
  <c r="R79" i="79"/>
  <c r="V79" i="79"/>
  <c r="R81" i="79"/>
  <c r="V81" i="79"/>
  <c r="R83" i="79"/>
  <c r="V83" i="79"/>
  <c r="R85" i="79"/>
  <c r="V85" i="79"/>
  <c r="R89" i="79"/>
  <c r="V89" i="79"/>
  <c r="R91" i="79"/>
  <c r="V91" i="79"/>
  <c r="R93" i="79"/>
  <c r="V93" i="79"/>
  <c r="R95" i="79"/>
  <c r="V95" i="79"/>
  <c r="R97" i="79"/>
  <c r="V97" i="79"/>
  <c r="R99" i="79"/>
  <c r="V99" i="79"/>
  <c r="R101" i="79"/>
  <c r="V101" i="79"/>
  <c r="R103" i="79"/>
  <c r="V103" i="79"/>
  <c r="Z104" i="79"/>
  <c r="V104" i="79"/>
  <c r="X106" i="79"/>
  <c r="R108" i="79"/>
  <c r="V108" i="79"/>
  <c r="Z108" i="79"/>
  <c r="Z110" i="79"/>
  <c r="V110" i="79"/>
  <c r="R110" i="79"/>
  <c r="X112" i="79"/>
  <c r="Z115" i="79"/>
  <c r="V115" i="79"/>
  <c r="R115" i="79"/>
  <c r="AA117" i="79"/>
  <c r="R117" i="79" s="1"/>
  <c r="X119" i="79"/>
  <c r="Z121" i="79"/>
  <c r="V121" i="79"/>
  <c r="R121" i="79"/>
  <c r="X123" i="79"/>
  <c r="Z125" i="79"/>
  <c r="V125" i="79"/>
  <c r="R125" i="79"/>
  <c r="AA136" i="79"/>
  <c r="Z129" i="79"/>
  <c r="V129" i="79"/>
  <c r="R129" i="79"/>
  <c r="X131" i="79"/>
  <c r="Z133" i="79"/>
  <c r="V133" i="79"/>
  <c r="R133" i="79"/>
  <c r="X135" i="79"/>
  <c r="X139" i="79"/>
  <c r="Z141" i="79"/>
  <c r="V141" i="79"/>
  <c r="R141" i="79"/>
  <c r="X143" i="79"/>
  <c r="Z145" i="79"/>
  <c r="V145" i="79"/>
  <c r="R145" i="79"/>
  <c r="X147" i="79"/>
  <c r="R149" i="79"/>
  <c r="V149" i="79"/>
  <c r="Z149" i="79"/>
  <c r="T149" i="79" l="1"/>
  <c r="Z126" i="79"/>
  <c r="X126" i="79"/>
  <c r="V126" i="79"/>
  <c r="T126" i="79"/>
  <c r="R126" i="79"/>
  <c r="V117" i="79"/>
  <c r="T75" i="79"/>
  <c r="V87" i="79"/>
  <c r="Z75" i="79"/>
  <c r="R75" i="79"/>
  <c r="T53" i="79"/>
  <c r="T117" i="79"/>
  <c r="Z136" i="79"/>
  <c r="X136" i="79"/>
  <c r="V136" i="79"/>
  <c r="T136" i="79"/>
  <c r="R136" i="79"/>
  <c r="X117" i="79"/>
  <c r="Z117" i="79"/>
  <c r="X87" i="79"/>
  <c r="X75" i="79"/>
  <c r="Z53" i="79"/>
  <c r="R53" i="79"/>
  <c r="Z87" i="79"/>
  <c r="Z37" i="79"/>
  <c r="X37" i="79"/>
  <c r="V37" i="79"/>
  <c r="T37" i="79"/>
  <c r="R37" i="79"/>
  <c r="AA151" i="79"/>
  <c r="X151" i="79" s="1"/>
  <c r="V151" i="79" l="1"/>
  <c r="T151" i="79"/>
  <c r="R151" i="79"/>
  <c r="Z151" i="79"/>
  <c r="AB151" i="78" l="1"/>
  <c r="AB149" i="78"/>
  <c r="W149" i="78"/>
  <c r="S149" i="78"/>
  <c r="V149" i="78" s="1"/>
  <c r="R149" i="78"/>
  <c r="Q149" i="78"/>
  <c r="Y149" i="78" s="1"/>
  <c r="P149" i="78"/>
  <c r="O149" i="78"/>
  <c r="L149" i="78"/>
  <c r="K149" i="78"/>
  <c r="M149" i="78" s="1"/>
  <c r="J149" i="78"/>
  <c r="U149" i="78" s="1"/>
  <c r="Y148" i="78"/>
  <c r="X148" i="78"/>
  <c r="W148" i="78"/>
  <c r="V148" i="78"/>
  <c r="U148" i="78"/>
  <c r="T148" i="78"/>
  <c r="Z148" i="78" s="1"/>
  <c r="M148" i="78"/>
  <c r="Y147" i="78"/>
  <c r="X147" i="78"/>
  <c r="W147" i="78"/>
  <c r="V147" i="78"/>
  <c r="U147" i="78"/>
  <c r="T147" i="78"/>
  <c r="Z147" i="78" s="1"/>
  <c r="M147" i="78"/>
  <c r="Y146" i="78"/>
  <c r="X146" i="78"/>
  <c r="W146" i="78"/>
  <c r="V146" i="78"/>
  <c r="U146" i="78"/>
  <c r="T146" i="78"/>
  <c r="Z146" i="78" s="1"/>
  <c r="M146" i="78"/>
  <c r="Y145" i="78"/>
  <c r="X145" i="78"/>
  <c r="W145" i="78"/>
  <c r="V145" i="78"/>
  <c r="U145" i="78"/>
  <c r="T145" i="78"/>
  <c r="Z145" i="78" s="1"/>
  <c r="M145" i="78"/>
  <c r="Y144" i="78"/>
  <c r="X144" i="78"/>
  <c r="W144" i="78"/>
  <c r="V144" i="78"/>
  <c r="U144" i="78"/>
  <c r="T144" i="78"/>
  <c r="Z144" i="78" s="1"/>
  <c r="M144" i="78"/>
  <c r="Y143" i="78"/>
  <c r="X143" i="78"/>
  <c r="W143" i="78"/>
  <c r="V143" i="78"/>
  <c r="U143" i="78"/>
  <c r="T143" i="78"/>
  <c r="Z143" i="78" s="1"/>
  <c r="M143" i="78"/>
  <c r="Y142" i="78"/>
  <c r="X142" i="78"/>
  <c r="W142" i="78"/>
  <c r="V142" i="78"/>
  <c r="U142" i="78"/>
  <c r="T142" i="78"/>
  <c r="Z142" i="78" s="1"/>
  <c r="M142" i="78"/>
  <c r="Y141" i="78"/>
  <c r="X141" i="78"/>
  <c r="W141" i="78"/>
  <c r="V141" i="78"/>
  <c r="U141" i="78"/>
  <c r="T141" i="78"/>
  <c r="Z141" i="78" s="1"/>
  <c r="M141" i="78"/>
  <c r="Y140" i="78"/>
  <c r="X140" i="78"/>
  <c r="W140" i="78"/>
  <c r="V140" i="78"/>
  <c r="U140" i="78"/>
  <c r="T140" i="78"/>
  <c r="Z140" i="78" s="1"/>
  <c r="M140" i="78"/>
  <c r="Y139" i="78"/>
  <c r="X139" i="78"/>
  <c r="W139" i="78"/>
  <c r="V139" i="78"/>
  <c r="U139" i="78"/>
  <c r="T139" i="78"/>
  <c r="Z139" i="78" s="1"/>
  <c r="M139" i="78"/>
  <c r="Y138" i="78"/>
  <c r="X138" i="78"/>
  <c r="W138" i="78"/>
  <c r="V138" i="78"/>
  <c r="U138" i="78"/>
  <c r="T138" i="78"/>
  <c r="T149" i="78" s="1"/>
  <c r="M138" i="78"/>
  <c r="AB136" i="78"/>
  <c r="V136" i="78"/>
  <c r="S136" i="78"/>
  <c r="R136" i="78"/>
  <c r="U136" i="78" s="1"/>
  <c r="Q136" i="78"/>
  <c r="Y136" i="78" s="1"/>
  <c r="P136" i="78"/>
  <c r="X136" i="78" s="1"/>
  <c r="O136" i="78"/>
  <c r="L136" i="78"/>
  <c r="K136" i="78"/>
  <c r="M136" i="78" s="1"/>
  <c r="J136" i="78"/>
  <c r="Y135" i="78"/>
  <c r="X135" i="78"/>
  <c r="V135" i="78"/>
  <c r="U135" i="78"/>
  <c r="T135" i="78"/>
  <c r="W135" i="78" s="1"/>
  <c r="M135" i="78"/>
  <c r="Z134" i="78"/>
  <c r="Y134" i="78"/>
  <c r="X134" i="78"/>
  <c r="V134" i="78"/>
  <c r="U134" i="78"/>
  <c r="T134" i="78"/>
  <c r="W134" i="78" s="1"/>
  <c r="M134" i="78"/>
  <c r="Y133" i="78"/>
  <c r="X133" i="78"/>
  <c r="V133" i="78"/>
  <c r="U133" i="78"/>
  <c r="T133" i="78"/>
  <c r="W133" i="78" s="1"/>
  <c r="M133" i="78"/>
  <c r="Z132" i="78"/>
  <c r="Y132" i="78"/>
  <c r="X132" i="78"/>
  <c r="V132" i="78"/>
  <c r="U132" i="78"/>
  <c r="T132" i="78"/>
  <c r="W132" i="78" s="1"/>
  <c r="M132" i="78"/>
  <c r="Y131" i="78"/>
  <c r="X131" i="78"/>
  <c r="U131" i="78"/>
  <c r="T131" i="78"/>
  <c r="T136" i="78" s="1"/>
  <c r="Y130" i="78"/>
  <c r="X130" i="78"/>
  <c r="W130" i="78"/>
  <c r="V130" i="78"/>
  <c r="U130" i="78"/>
  <c r="T130" i="78"/>
  <c r="Z130" i="78" s="1"/>
  <c r="M130" i="78"/>
  <c r="Y129" i="78"/>
  <c r="X129" i="78"/>
  <c r="W129" i="78"/>
  <c r="V129" i="78"/>
  <c r="U129" i="78"/>
  <c r="T129" i="78"/>
  <c r="Z129" i="78" s="1"/>
  <c r="M129" i="78"/>
  <c r="Y128" i="78"/>
  <c r="X128" i="78"/>
  <c r="W128" i="78"/>
  <c r="V128" i="78"/>
  <c r="U128" i="78"/>
  <c r="T128" i="78"/>
  <c r="Z128" i="78" s="1"/>
  <c r="M128" i="78"/>
  <c r="AB126" i="78"/>
  <c r="V126" i="78"/>
  <c r="S126" i="78"/>
  <c r="R126" i="78"/>
  <c r="U126" i="78" s="1"/>
  <c r="Q126" i="78"/>
  <c r="Y126" i="78" s="1"/>
  <c r="P126" i="78"/>
  <c r="X126" i="78" s="1"/>
  <c r="O126" i="78"/>
  <c r="L126" i="78"/>
  <c r="K126" i="78"/>
  <c r="M126" i="78" s="1"/>
  <c r="J126" i="78"/>
  <c r="Y125" i="78"/>
  <c r="X125" i="78"/>
  <c r="V125" i="78"/>
  <c r="U125" i="78"/>
  <c r="T125" i="78"/>
  <c r="W125" i="78" s="1"/>
  <c r="M125" i="78"/>
  <c r="Z124" i="78"/>
  <c r="Y124" i="78"/>
  <c r="X124" i="78"/>
  <c r="V124" i="78"/>
  <c r="U124" i="78"/>
  <c r="T124" i="78"/>
  <c r="W124" i="78" s="1"/>
  <c r="M124" i="78"/>
  <c r="Y123" i="78"/>
  <c r="X123" i="78"/>
  <c r="V123" i="78"/>
  <c r="U123" i="78"/>
  <c r="T123" i="78"/>
  <c r="W123" i="78" s="1"/>
  <c r="M123" i="78"/>
  <c r="Z122" i="78"/>
  <c r="Y122" i="78"/>
  <c r="X122" i="78"/>
  <c r="V122" i="78"/>
  <c r="U122" i="78"/>
  <c r="T122" i="78"/>
  <c r="W122" i="78" s="1"/>
  <c r="M122" i="78"/>
  <c r="Y121" i="78"/>
  <c r="X121" i="78"/>
  <c r="V121" i="78"/>
  <c r="U121" i="78"/>
  <c r="T121" i="78"/>
  <c r="W121" i="78" s="1"/>
  <c r="M121" i="78"/>
  <c r="Z120" i="78"/>
  <c r="Y120" i="78"/>
  <c r="X120" i="78"/>
  <c r="T120" i="78"/>
  <c r="M120" i="78"/>
  <c r="Y119" i="78"/>
  <c r="X119" i="78"/>
  <c r="T119" i="78"/>
  <c r="Z119" i="78" s="1"/>
  <c r="M119" i="78"/>
  <c r="AB117" i="78"/>
  <c r="Y117" i="78"/>
  <c r="S117" i="78"/>
  <c r="V117" i="78" s="1"/>
  <c r="R117" i="78"/>
  <c r="Q117" i="78"/>
  <c r="P117" i="78"/>
  <c r="X117" i="78" s="1"/>
  <c r="O117" i="78"/>
  <c r="L117" i="78"/>
  <c r="K117" i="78"/>
  <c r="J117" i="78"/>
  <c r="U117" i="78" s="1"/>
  <c r="Y116" i="78"/>
  <c r="X116" i="78"/>
  <c r="W116" i="78"/>
  <c r="V116" i="78"/>
  <c r="U116" i="78"/>
  <c r="T116" i="78"/>
  <c r="Z116" i="78" s="1"/>
  <c r="M116" i="78"/>
  <c r="Y115" i="78"/>
  <c r="X115" i="78"/>
  <c r="W115" i="78"/>
  <c r="V115" i="78"/>
  <c r="U115" i="78"/>
  <c r="T115" i="78"/>
  <c r="Z115" i="78" s="1"/>
  <c r="M115" i="78"/>
  <c r="Y114" i="78"/>
  <c r="X114" i="78"/>
  <c r="W114" i="78"/>
  <c r="V114" i="78"/>
  <c r="U114" i="78"/>
  <c r="T114" i="78"/>
  <c r="Z114" i="78" s="1"/>
  <c r="M114" i="78"/>
  <c r="Y113" i="78"/>
  <c r="X113" i="78"/>
  <c r="U113" i="78"/>
  <c r="T113" i="78"/>
  <c r="W113" i="78" s="1"/>
  <c r="M113" i="78"/>
  <c r="Y112" i="78"/>
  <c r="X112" i="78"/>
  <c r="W112" i="78"/>
  <c r="V112" i="78"/>
  <c r="U112" i="78"/>
  <c r="T112" i="78"/>
  <c r="Z112" i="78" s="1"/>
  <c r="M112" i="78"/>
  <c r="Y111" i="78"/>
  <c r="X111" i="78"/>
  <c r="W111" i="78"/>
  <c r="V111" i="78"/>
  <c r="U111" i="78"/>
  <c r="T111" i="78"/>
  <c r="Z111" i="78" s="1"/>
  <c r="M111" i="78"/>
  <c r="Y110" i="78"/>
  <c r="X110" i="78"/>
  <c r="W110" i="78"/>
  <c r="V110" i="78"/>
  <c r="U110" i="78"/>
  <c r="T110" i="78"/>
  <c r="T117" i="78" s="1"/>
  <c r="Z117" i="78" s="1"/>
  <c r="M110" i="78"/>
  <c r="AB108" i="78"/>
  <c r="S108" i="78"/>
  <c r="R108" i="78"/>
  <c r="U108" i="78" s="1"/>
  <c r="Q108" i="78"/>
  <c r="Y108" i="78" s="1"/>
  <c r="P108" i="78"/>
  <c r="X108" i="78" s="1"/>
  <c r="O108" i="78"/>
  <c r="L108" i="78"/>
  <c r="K108" i="78"/>
  <c r="V108" i="78" s="1"/>
  <c r="J108" i="78"/>
  <c r="Z107" i="78"/>
  <c r="Y107" i="78"/>
  <c r="X107" i="78"/>
  <c r="V107" i="78"/>
  <c r="U107" i="78"/>
  <c r="T107" i="78"/>
  <c r="W107" i="78" s="1"/>
  <c r="M107" i="78"/>
  <c r="Y106" i="78"/>
  <c r="X106" i="78"/>
  <c r="V106" i="78"/>
  <c r="U106" i="78"/>
  <c r="T106" i="78"/>
  <c r="W106" i="78" s="1"/>
  <c r="M106" i="78"/>
  <c r="Z105" i="78"/>
  <c r="Y105" i="78"/>
  <c r="X105" i="78"/>
  <c r="V105" i="78"/>
  <c r="U105" i="78"/>
  <c r="T105" i="78"/>
  <c r="W105" i="78" s="1"/>
  <c r="M105" i="78"/>
  <c r="Y104" i="78"/>
  <c r="X104" i="78"/>
  <c r="V104" i="78"/>
  <c r="U104" i="78"/>
  <c r="T104" i="78"/>
  <c r="W104" i="78" s="1"/>
  <c r="M104" i="78"/>
  <c r="Z103" i="78"/>
  <c r="Y103" i="78"/>
  <c r="X103" i="78"/>
  <c r="V103" i="78"/>
  <c r="U103" i="78"/>
  <c r="T103" i="78"/>
  <c r="W103" i="78" s="1"/>
  <c r="M103" i="78"/>
  <c r="Y102" i="78"/>
  <c r="X102" i="78"/>
  <c r="V102" i="78"/>
  <c r="U102" i="78"/>
  <c r="T102" i="78"/>
  <c r="W102" i="78" s="1"/>
  <c r="M102" i="78"/>
  <c r="Z101" i="78"/>
  <c r="Y101" i="78"/>
  <c r="X101" i="78"/>
  <c r="V101" i="78"/>
  <c r="U101" i="78"/>
  <c r="T101" i="78"/>
  <c r="W101" i="78" s="1"/>
  <c r="M101" i="78"/>
  <c r="Y100" i="78"/>
  <c r="X100" i="78"/>
  <c r="V100" i="78"/>
  <c r="U100" i="78"/>
  <c r="T100" i="78"/>
  <c r="W100" i="78" s="1"/>
  <c r="M100" i="78"/>
  <c r="Z99" i="78"/>
  <c r="Y99" i="78"/>
  <c r="X99" i="78"/>
  <c r="V99" i="78"/>
  <c r="U99" i="78"/>
  <c r="T99" i="78"/>
  <c r="W99" i="78" s="1"/>
  <c r="M99" i="78"/>
  <c r="Y98" i="78"/>
  <c r="X98" i="78"/>
  <c r="V98" i="78"/>
  <c r="U98" i="78"/>
  <c r="T98" i="78"/>
  <c r="W98" i="78" s="1"/>
  <c r="M98" i="78"/>
  <c r="Z97" i="78"/>
  <c r="Y97" i="78"/>
  <c r="X97" i="78"/>
  <c r="V97" i="78"/>
  <c r="U97" i="78"/>
  <c r="T97" i="78"/>
  <c r="W97" i="78" s="1"/>
  <c r="M97" i="78"/>
  <c r="Y96" i="78"/>
  <c r="X96" i="78"/>
  <c r="V96" i="78"/>
  <c r="U96" i="78"/>
  <c r="T96" i="78"/>
  <c r="W96" i="78" s="1"/>
  <c r="M96" i="78"/>
  <c r="Z95" i="78"/>
  <c r="Y95" i="78"/>
  <c r="X95" i="78"/>
  <c r="V95" i="78"/>
  <c r="U95" i="78"/>
  <c r="T95" i="78"/>
  <c r="W95" i="78" s="1"/>
  <c r="M95" i="78"/>
  <c r="Y94" i="78"/>
  <c r="X94" i="78"/>
  <c r="V94" i="78"/>
  <c r="U94" i="78"/>
  <c r="T94" i="78"/>
  <c r="W94" i="78" s="1"/>
  <c r="M94" i="78"/>
  <c r="Z93" i="78"/>
  <c r="Y93" i="78"/>
  <c r="X93" i="78"/>
  <c r="V93" i="78"/>
  <c r="U93" i="78"/>
  <c r="T93" i="78"/>
  <c r="W93" i="78" s="1"/>
  <c r="M93" i="78"/>
  <c r="Y92" i="78"/>
  <c r="X92" i="78"/>
  <c r="V92" i="78"/>
  <c r="U92" i="78"/>
  <c r="T92" i="78"/>
  <c r="W92" i="78" s="1"/>
  <c r="M92" i="78"/>
  <c r="Z91" i="78"/>
  <c r="Y91" i="78"/>
  <c r="X91" i="78"/>
  <c r="V91" i="78"/>
  <c r="U91" i="78"/>
  <c r="T91" i="78"/>
  <c r="W91" i="78" s="1"/>
  <c r="M91" i="78"/>
  <c r="Y90" i="78"/>
  <c r="X90" i="78"/>
  <c r="V90" i="78"/>
  <c r="U90" i="78"/>
  <c r="T90" i="78"/>
  <c r="W90" i="78" s="1"/>
  <c r="M90" i="78"/>
  <c r="Z89" i="78"/>
  <c r="Y89" i="78"/>
  <c r="X89" i="78"/>
  <c r="V89" i="78"/>
  <c r="U89" i="78"/>
  <c r="T89" i="78"/>
  <c r="W89" i="78" s="1"/>
  <c r="M89" i="78"/>
  <c r="AB87" i="78"/>
  <c r="Y87" i="78"/>
  <c r="S87" i="78"/>
  <c r="V87" i="78" s="1"/>
  <c r="R87" i="78"/>
  <c r="Q87" i="78"/>
  <c r="P87" i="78"/>
  <c r="X87" i="78" s="1"/>
  <c r="O87" i="78"/>
  <c r="L87" i="78"/>
  <c r="K87" i="78"/>
  <c r="J87" i="78"/>
  <c r="U87" i="78" s="1"/>
  <c r="Y86" i="78"/>
  <c r="X86" i="78"/>
  <c r="W86" i="78"/>
  <c r="V86" i="78"/>
  <c r="U86" i="78"/>
  <c r="T86" i="78"/>
  <c r="Z86" i="78" s="1"/>
  <c r="M86" i="78"/>
  <c r="Y85" i="78"/>
  <c r="X85" i="78"/>
  <c r="W85" i="78"/>
  <c r="V85" i="78"/>
  <c r="U85" i="78"/>
  <c r="T85" i="78"/>
  <c r="Z85" i="78" s="1"/>
  <c r="M85" i="78"/>
  <c r="Y84" i="78"/>
  <c r="X84" i="78"/>
  <c r="V84" i="78"/>
  <c r="U84" i="78"/>
  <c r="T84" i="78"/>
  <c r="Z84" i="78" s="1"/>
  <c r="M84" i="78"/>
  <c r="Y83" i="78"/>
  <c r="X83" i="78"/>
  <c r="V83" i="78"/>
  <c r="U83" i="78"/>
  <c r="T83" i="78"/>
  <c r="W83" i="78" s="1"/>
  <c r="M83" i="78"/>
  <c r="Y82" i="78"/>
  <c r="X82" i="78"/>
  <c r="V82" i="78"/>
  <c r="U82" i="78"/>
  <c r="T82" i="78"/>
  <c r="W82" i="78" s="1"/>
  <c r="M82" i="78"/>
  <c r="Y81" i="78"/>
  <c r="X81" i="78"/>
  <c r="V81" i="78"/>
  <c r="U81" i="78"/>
  <c r="T81" i="78"/>
  <c r="W81" i="78" s="1"/>
  <c r="M81" i="78"/>
  <c r="Y80" i="78"/>
  <c r="X80" i="78"/>
  <c r="V80" i="78"/>
  <c r="U80" i="78"/>
  <c r="T80" i="78"/>
  <c r="W80" i="78" s="1"/>
  <c r="M80" i="78"/>
  <c r="Y79" i="78"/>
  <c r="X79" i="78"/>
  <c r="V79" i="78"/>
  <c r="U79" i="78"/>
  <c r="T79" i="78"/>
  <c r="W79" i="78" s="1"/>
  <c r="M79" i="78"/>
  <c r="Y78" i="78"/>
  <c r="X78" i="78"/>
  <c r="V78" i="78"/>
  <c r="U78" i="78"/>
  <c r="T78" i="78"/>
  <c r="W78" i="78" s="1"/>
  <c r="M78" i="78"/>
  <c r="Y77" i="78"/>
  <c r="X77" i="78"/>
  <c r="V77" i="78"/>
  <c r="U77" i="78"/>
  <c r="T77" i="78"/>
  <c r="T87" i="78" s="1"/>
  <c r="Z87" i="78" s="1"/>
  <c r="M77" i="78"/>
  <c r="AB75" i="78"/>
  <c r="S75" i="78"/>
  <c r="V75" i="78" s="1"/>
  <c r="R75" i="78"/>
  <c r="Q75" i="78"/>
  <c r="Y75" i="78" s="1"/>
  <c r="P75" i="78"/>
  <c r="X75" i="78" s="1"/>
  <c r="O75" i="78"/>
  <c r="L75" i="78"/>
  <c r="K75" i="78"/>
  <c r="M75" i="78" s="1"/>
  <c r="J75" i="78"/>
  <c r="U75" i="78" s="1"/>
  <c r="Y74" i="78"/>
  <c r="X74" i="78"/>
  <c r="W74" i="78"/>
  <c r="V74" i="78"/>
  <c r="U74" i="78"/>
  <c r="T74" i="78"/>
  <c r="Z74" i="78" s="1"/>
  <c r="M74" i="78"/>
  <c r="Y73" i="78"/>
  <c r="X73" i="78"/>
  <c r="W73" i="78"/>
  <c r="V73" i="78"/>
  <c r="U73" i="78"/>
  <c r="T73" i="78"/>
  <c r="Z73" i="78" s="1"/>
  <c r="M73" i="78"/>
  <c r="Y72" i="78"/>
  <c r="X72" i="78"/>
  <c r="W72" i="78"/>
  <c r="V72" i="78"/>
  <c r="U72" i="78"/>
  <c r="T72" i="78"/>
  <c r="Z72" i="78" s="1"/>
  <c r="M72" i="78"/>
  <c r="Y71" i="78"/>
  <c r="X71" i="78"/>
  <c r="W71" i="78"/>
  <c r="V71" i="78"/>
  <c r="U71" i="78"/>
  <c r="T71" i="78"/>
  <c r="Z71" i="78" s="1"/>
  <c r="M71" i="78"/>
  <c r="Y70" i="78"/>
  <c r="X70" i="78"/>
  <c r="W70" i="78"/>
  <c r="V70" i="78"/>
  <c r="U70" i="78"/>
  <c r="T70" i="78"/>
  <c r="Z70" i="78" s="1"/>
  <c r="M70" i="78"/>
  <c r="Y69" i="78"/>
  <c r="X69" i="78"/>
  <c r="W69" i="78"/>
  <c r="V69" i="78"/>
  <c r="U69" i="78"/>
  <c r="T69" i="78"/>
  <c r="Z69" i="78" s="1"/>
  <c r="M69" i="78"/>
  <c r="Y68" i="78"/>
  <c r="X68" i="78"/>
  <c r="W68" i="78"/>
  <c r="V68" i="78"/>
  <c r="U68" i="78"/>
  <c r="T68" i="78"/>
  <c r="Z68" i="78" s="1"/>
  <c r="M68" i="78"/>
  <c r="Y67" i="78"/>
  <c r="X67" i="78"/>
  <c r="W67" i="78"/>
  <c r="V67" i="78"/>
  <c r="U67" i="78"/>
  <c r="T67" i="78"/>
  <c r="Z67" i="78" s="1"/>
  <c r="M67" i="78"/>
  <c r="Y66" i="78"/>
  <c r="X66" i="78"/>
  <c r="W66" i="78"/>
  <c r="V66" i="78"/>
  <c r="U66" i="78"/>
  <c r="T66" i="78"/>
  <c r="Z66" i="78" s="1"/>
  <c r="M66" i="78"/>
  <c r="Y65" i="78"/>
  <c r="X65" i="78"/>
  <c r="W65" i="78"/>
  <c r="V65" i="78"/>
  <c r="U65" i="78"/>
  <c r="T65" i="78"/>
  <c r="Z65" i="78" s="1"/>
  <c r="M65" i="78"/>
  <c r="Y64" i="78"/>
  <c r="X64" i="78"/>
  <c r="W64" i="78"/>
  <c r="V64" i="78"/>
  <c r="U64" i="78"/>
  <c r="T64" i="78"/>
  <c r="Z64" i="78" s="1"/>
  <c r="M64" i="78"/>
  <c r="Y63" i="78"/>
  <c r="X63" i="78"/>
  <c r="W63" i="78"/>
  <c r="V63" i="78"/>
  <c r="U63" i="78"/>
  <c r="T63" i="78"/>
  <c r="Z63" i="78" s="1"/>
  <c r="M63" i="78"/>
  <c r="Y62" i="78"/>
  <c r="X62" i="78"/>
  <c r="W62" i="78"/>
  <c r="V62" i="78"/>
  <c r="U62" i="78"/>
  <c r="T62" i="78"/>
  <c r="Z62" i="78" s="1"/>
  <c r="M62" i="78"/>
  <c r="Y61" i="78"/>
  <c r="X61" i="78"/>
  <c r="W61" i="78"/>
  <c r="V61" i="78"/>
  <c r="U61" i="78"/>
  <c r="T61" i="78"/>
  <c r="Z61" i="78" s="1"/>
  <c r="M61" i="78"/>
  <c r="Y60" i="78"/>
  <c r="X60" i="78"/>
  <c r="W60" i="78"/>
  <c r="V60" i="78"/>
  <c r="U60" i="78"/>
  <c r="T60" i="78"/>
  <c r="Z60" i="78" s="1"/>
  <c r="M60" i="78"/>
  <c r="Y59" i="78"/>
  <c r="X59" i="78"/>
  <c r="W59" i="78"/>
  <c r="V59" i="78"/>
  <c r="U59" i="78"/>
  <c r="T59" i="78"/>
  <c r="Z59" i="78" s="1"/>
  <c r="M59" i="78"/>
  <c r="Y58" i="78"/>
  <c r="X58" i="78"/>
  <c r="W58" i="78"/>
  <c r="V58" i="78"/>
  <c r="U58" i="78"/>
  <c r="T58" i="78"/>
  <c r="Z58" i="78" s="1"/>
  <c r="M58" i="78"/>
  <c r="Y57" i="78"/>
  <c r="X57" i="78"/>
  <c r="W57" i="78"/>
  <c r="V57" i="78"/>
  <c r="U57" i="78"/>
  <c r="T57" i="78"/>
  <c r="Z57" i="78" s="1"/>
  <c r="M57" i="78"/>
  <c r="Y56" i="78"/>
  <c r="X56" i="78"/>
  <c r="W56" i="78"/>
  <c r="V56" i="78"/>
  <c r="U56" i="78"/>
  <c r="T56" i="78"/>
  <c r="Z56" i="78" s="1"/>
  <c r="M56" i="78"/>
  <c r="Y55" i="78"/>
  <c r="X55" i="78"/>
  <c r="W55" i="78"/>
  <c r="V55" i="78"/>
  <c r="U55" i="78"/>
  <c r="T55" i="78"/>
  <c r="T75" i="78" s="1"/>
  <c r="M55" i="78"/>
  <c r="AB53" i="78"/>
  <c r="S53" i="78"/>
  <c r="R53" i="78"/>
  <c r="U53" i="78" s="1"/>
  <c r="Q53" i="78"/>
  <c r="Y53" i="78" s="1"/>
  <c r="P53" i="78"/>
  <c r="X53" i="78" s="1"/>
  <c r="O53" i="78"/>
  <c r="L53" i="78"/>
  <c r="K53" i="78"/>
  <c r="V53" i="78" s="1"/>
  <c r="J53" i="78"/>
  <c r="Y52" i="78"/>
  <c r="X52" i="78"/>
  <c r="V52" i="78"/>
  <c r="U52" i="78"/>
  <c r="T52" i="78"/>
  <c r="W52" i="78" s="1"/>
  <c r="M52" i="78"/>
  <c r="Y51" i="78"/>
  <c r="X51" i="78"/>
  <c r="V51" i="78"/>
  <c r="U51" i="78"/>
  <c r="T51" i="78"/>
  <c r="W51" i="78" s="1"/>
  <c r="M51" i="78"/>
  <c r="Y50" i="78"/>
  <c r="X50" i="78"/>
  <c r="V50" i="78"/>
  <c r="U50" i="78"/>
  <c r="T50" i="78"/>
  <c r="W50" i="78" s="1"/>
  <c r="M50" i="78"/>
  <c r="Y49" i="78"/>
  <c r="X49" i="78"/>
  <c r="V49" i="78"/>
  <c r="U49" i="78"/>
  <c r="T49" i="78"/>
  <c r="W49" i="78" s="1"/>
  <c r="M49" i="78"/>
  <c r="Y48" i="78"/>
  <c r="X48" i="78"/>
  <c r="V48" i="78"/>
  <c r="U48" i="78"/>
  <c r="T48" i="78"/>
  <c r="W48" i="78" s="1"/>
  <c r="M48" i="78"/>
  <c r="Y47" i="78"/>
  <c r="X47" i="78"/>
  <c r="V47" i="78"/>
  <c r="U47" i="78"/>
  <c r="T47" i="78"/>
  <c r="W47" i="78" s="1"/>
  <c r="M47" i="78"/>
  <c r="Y46" i="78"/>
  <c r="X46" i="78"/>
  <c r="V46" i="78"/>
  <c r="U46" i="78"/>
  <c r="T46" i="78"/>
  <c r="W46" i="78" s="1"/>
  <c r="M46" i="78"/>
  <c r="Y45" i="78"/>
  <c r="X45" i="78"/>
  <c r="V45" i="78"/>
  <c r="U45" i="78"/>
  <c r="T45" i="78"/>
  <c r="W45" i="78" s="1"/>
  <c r="M45" i="78"/>
  <c r="Y44" i="78"/>
  <c r="X44" i="78"/>
  <c r="V44" i="78"/>
  <c r="U44" i="78"/>
  <c r="T44" i="78"/>
  <c r="W44" i="78" s="1"/>
  <c r="M44" i="78"/>
  <c r="Y43" i="78"/>
  <c r="X43" i="78"/>
  <c r="V43" i="78"/>
  <c r="U43" i="78"/>
  <c r="T43" i="78"/>
  <c r="W43" i="78" s="1"/>
  <c r="M43" i="78"/>
  <c r="Y42" i="78"/>
  <c r="X42" i="78"/>
  <c r="V42" i="78"/>
  <c r="U42" i="78"/>
  <c r="T42" i="78"/>
  <c r="W42" i="78" s="1"/>
  <c r="M42" i="78"/>
  <c r="Y41" i="78"/>
  <c r="X41" i="78"/>
  <c r="V41" i="78"/>
  <c r="U41" i="78"/>
  <c r="T41" i="78"/>
  <c r="W41" i="78" s="1"/>
  <c r="M41" i="78"/>
  <c r="Y40" i="78"/>
  <c r="X40" i="78"/>
  <c r="V40" i="78"/>
  <c r="U40" i="78"/>
  <c r="T40" i="78"/>
  <c r="W40" i="78" s="1"/>
  <c r="M40" i="78"/>
  <c r="Y39" i="78"/>
  <c r="X39" i="78"/>
  <c r="V39" i="78"/>
  <c r="U39" i="78"/>
  <c r="T39" i="78"/>
  <c r="W39" i="78" s="1"/>
  <c r="M39" i="78"/>
  <c r="AB37" i="78"/>
  <c r="S37" i="78"/>
  <c r="V37" i="78" s="1"/>
  <c r="R37" i="78"/>
  <c r="Q37" i="78"/>
  <c r="Y37" i="78" s="1"/>
  <c r="P37" i="78"/>
  <c r="X37" i="78" s="1"/>
  <c r="O37" i="78"/>
  <c r="L37" i="78"/>
  <c r="K37" i="78"/>
  <c r="M37" i="78" s="1"/>
  <c r="J37" i="78"/>
  <c r="U37" i="78" s="1"/>
  <c r="Y36" i="78"/>
  <c r="X36" i="78"/>
  <c r="W36" i="78"/>
  <c r="V36" i="78"/>
  <c r="U36" i="78"/>
  <c r="T36" i="78"/>
  <c r="Z36" i="78" s="1"/>
  <c r="M36" i="78"/>
  <c r="Y35" i="78"/>
  <c r="X35" i="78"/>
  <c r="W35" i="78"/>
  <c r="V35" i="78"/>
  <c r="U35" i="78"/>
  <c r="T35" i="78"/>
  <c r="Z35" i="78" s="1"/>
  <c r="M35" i="78"/>
  <c r="Y34" i="78"/>
  <c r="X34" i="78"/>
  <c r="W34" i="78"/>
  <c r="V34" i="78"/>
  <c r="U34" i="78"/>
  <c r="T34" i="78"/>
  <c r="T37" i="78" s="1"/>
  <c r="M34" i="78"/>
  <c r="AB32" i="78"/>
  <c r="S32" i="78"/>
  <c r="R32" i="78"/>
  <c r="Q32" i="78"/>
  <c r="P32" i="78"/>
  <c r="P151" i="78" s="1"/>
  <c r="O32" i="78"/>
  <c r="L32" i="78"/>
  <c r="K32" i="78"/>
  <c r="M32" i="78" s="1"/>
  <c r="J32" i="78"/>
  <c r="Z31" i="78"/>
  <c r="Y31" i="78"/>
  <c r="X31" i="78"/>
  <c r="V31" i="78"/>
  <c r="U31" i="78"/>
  <c r="T31" i="78"/>
  <c r="W31" i="78" s="1"/>
  <c r="M31" i="78"/>
  <c r="Y30" i="78"/>
  <c r="X30" i="78"/>
  <c r="V30" i="78"/>
  <c r="U30" i="78"/>
  <c r="T30" i="78"/>
  <c r="W30" i="78" s="1"/>
  <c r="M30" i="78"/>
  <c r="Z29" i="78"/>
  <c r="Y29" i="78"/>
  <c r="X29" i="78"/>
  <c r="V29" i="78"/>
  <c r="U29" i="78"/>
  <c r="T29" i="78"/>
  <c r="W29" i="78" s="1"/>
  <c r="M29" i="78"/>
  <c r="Y28" i="78"/>
  <c r="X28" i="78"/>
  <c r="V28" i="78"/>
  <c r="U28" i="78"/>
  <c r="T28" i="78"/>
  <c r="W28" i="78" s="1"/>
  <c r="M28" i="78"/>
  <c r="Z27" i="78"/>
  <c r="Y27" i="78"/>
  <c r="X27" i="78"/>
  <c r="V27" i="78"/>
  <c r="U27" i="78"/>
  <c r="T27" i="78"/>
  <c r="W27" i="78" s="1"/>
  <c r="M27" i="78"/>
  <c r="Y26" i="78"/>
  <c r="X26" i="78"/>
  <c r="V26" i="78"/>
  <c r="U26" i="78"/>
  <c r="T26" i="78"/>
  <c r="W26" i="78" s="1"/>
  <c r="M26" i="78"/>
  <c r="Z25" i="78"/>
  <c r="Y25" i="78"/>
  <c r="X25" i="78"/>
  <c r="V25" i="78"/>
  <c r="U25" i="78"/>
  <c r="T25" i="78"/>
  <c r="W25" i="78" s="1"/>
  <c r="M25" i="78"/>
  <c r="Y24" i="78"/>
  <c r="X24" i="78"/>
  <c r="V24" i="78"/>
  <c r="U24" i="78"/>
  <c r="T24" i="78"/>
  <c r="W24" i="78" s="1"/>
  <c r="M24" i="78"/>
  <c r="Z23" i="78"/>
  <c r="Y23" i="78"/>
  <c r="X23" i="78"/>
  <c r="V23" i="78"/>
  <c r="U23" i="78"/>
  <c r="T23" i="78"/>
  <c r="W23" i="78" s="1"/>
  <c r="M23" i="78"/>
  <c r="Y22" i="78"/>
  <c r="X22" i="78"/>
  <c r="U22" i="78"/>
  <c r="T22" i="78"/>
  <c r="Z22" i="78" s="1"/>
  <c r="M22" i="78"/>
  <c r="Y21" i="78"/>
  <c r="X21" i="78"/>
  <c r="V21" i="78"/>
  <c r="U21" i="78"/>
  <c r="T21" i="78"/>
  <c r="W21" i="78" s="1"/>
  <c r="M21" i="78"/>
  <c r="Z20" i="78"/>
  <c r="Y20" i="78"/>
  <c r="X20" i="78"/>
  <c r="V20" i="78"/>
  <c r="U20" i="78"/>
  <c r="T20" i="78"/>
  <c r="W20" i="78" s="1"/>
  <c r="M20" i="78"/>
  <c r="Y19" i="78"/>
  <c r="X19" i="78"/>
  <c r="V19" i="78"/>
  <c r="U19" i="78"/>
  <c r="T19" i="78"/>
  <c r="W19" i="78" s="1"/>
  <c r="M19" i="78"/>
  <c r="Z18" i="78"/>
  <c r="Y18" i="78"/>
  <c r="X18" i="78"/>
  <c r="V18" i="78"/>
  <c r="U18" i="78"/>
  <c r="T18" i="78"/>
  <c r="W18" i="78" s="1"/>
  <c r="M18" i="78"/>
  <c r="Y17" i="78"/>
  <c r="X17" i="78"/>
  <c r="V17" i="78"/>
  <c r="U17" i="78"/>
  <c r="T17" i="78"/>
  <c r="W17" i="78" s="1"/>
  <c r="M17" i="78"/>
  <c r="Z16" i="78"/>
  <c r="Y16" i="78"/>
  <c r="X16" i="78"/>
  <c r="V16" i="78"/>
  <c r="U16" i="78"/>
  <c r="T16" i="78"/>
  <c r="W16" i="78" s="1"/>
  <c r="M16" i="78"/>
  <c r="Y15" i="78"/>
  <c r="X15" i="78"/>
  <c r="V15" i="78"/>
  <c r="U15" i="78"/>
  <c r="T15" i="78"/>
  <c r="W15" i="78" s="1"/>
  <c r="M15" i="78"/>
  <c r="Z14" i="78"/>
  <c r="Y14" i="78"/>
  <c r="X14" i="78"/>
  <c r="V14" i="78"/>
  <c r="U14" i="78"/>
  <c r="T14" i="78"/>
  <c r="W14" i="78" s="1"/>
  <c r="M14" i="78"/>
  <c r="Y13" i="78"/>
  <c r="X13" i="78"/>
  <c r="V13" i="78"/>
  <c r="U13" i="78"/>
  <c r="T13" i="78"/>
  <c r="W13" i="78" s="1"/>
  <c r="M13" i="78"/>
  <c r="Z12" i="78"/>
  <c r="Y12" i="78"/>
  <c r="X12" i="78"/>
  <c r="V12" i="78"/>
  <c r="U12" i="78"/>
  <c r="T12" i="78"/>
  <c r="W12" i="78" s="1"/>
  <c r="M12" i="78"/>
  <c r="Y11" i="78"/>
  <c r="X11" i="78"/>
  <c r="V11" i="78"/>
  <c r="U11" i="78"/>
  <c r="T11" i="78"/>
  <c r="W11" i="78" s="1"/>
  <c r="M11" i="78"/>
  <c r="Z10" i="78"/>
  <c r="Y10" i="78"/>
  <c r="X10" i="78"/>
  <c r="V10" i="78"/>
  <c r="U10" i="78"/>
  <c r="T10" i="78"/>
  <c r="W10" i="78" s="1"/>
  <c r="M10" i="78"/>
  <c r="Y9" i="78"/>
  <c r="X9" i="78"/>
  <c r="V9" i="78"/>
  <c r="U9" i="78"/>
  <c r="T9" i="78"/>
  <c r="W9" i="78" s="1"/>
  <c r="M9" i="78"/>
  <c r="Z8" i="78"/>
  <c r="Y8" i="78"/>
  <c r="X8" i="78"/>
  <c r="V8" i="78"/>
  <c r="U8" i="78"/>
  <c r="T8" i="78"/>
  <c r="W8" i="78" s="1"/>
  <c r="M8" i="78"/>
  <c r="Y7" i="78"/>
  <c r="X7" i="78"/>
  <c r="V7" i="78"/>
  <c r="U7" i="78"/>
  <c r="T7" i="78"/>
  <c r="W7" i="78" s="1"/>
  <c r="M7" i="78"/>
  <c r="U32" i="78" l="1"/>
  <c r="R151" i="78"/>
  <c r="Z37" i="78"/>
  <c r="W37" i="78"/>
  <c r="Z7" i="78"/>
  <c r="Z9" i="78"/>
  <c r="Z11" i="78"/>
  <c r="Z13" i="78"/>
  <c r="Z15" i="78"/>
  <c r="Z17" i="78"/>
  <c r="Z19" i="78"/>
  <c r="Z21" i="78"/>
  <c r="Z24" i="78"/>
  <c r="Z26" i="78"/>
  <c r="Z28" i="78"/>
  <c r="Z30" i="78"/>
  <c r="X32" i="78"/>
  <c r="Z75" i="78"/>
  <c r="W75" i="78"/>
  <c r="W136" i="78"/>
  <c r="Z136" i="78"/>
  <c r="K151" i="78"/>
  <c r="M151" i="78" s="1"/>
  <c r="V32" i="78"/>
  <c r="T32" i="78"/>
  <c r="Z39" i="78"/>
  <c r="Z40" i="78"/>
  <c r="Z41" i="78"/>
  <c r="Z42" i="78"/>
  <c r="Z43" i="78"/>
  <c r="Z44" i="78"/>
  <c r="Z45" i="78"/>
  <c r="Z46" i="78"/>
  <c r="Z47" i="78"/>
  <c r="Z48" i="78"/>
  <c r="Z49" i="78"/>
  <c r="Z50" i="78"/>
  <c r="Z51" i="78"/>
  <c r="Z52" i="78"/>
  <c r="M53" i="78"/>
  <c r="T53" i="78"/>
  <c r="Z77" i="78"/>
  <c r="Z78" i="78"/>
  <c r="Z79" i="78"/>
  <c r="Z80" i="78"/>
  <c r="Z81" i="78"/>
  <c r="Z82" i="78"/>
  <c r="Z83" i="78"/>
  <c r="M108" i="78"/>
  <c r="T108" i="78"/>
  <c r="J151" i="78"/>
  <c r="L151" i="78"/>
  <c r="O151" i="78"/>
  <c r="T151" i="78" s="1"/>
  <c r="Q151" i="78"/>
  <c r="S151" i="78"/>
  <c r="V151" i="78" s="1"/>
  <c r="Y32" i="78"/>
  <c r="Z34" i="78"/>
  <c r="Z55" i="78"/>
  <c r="W77" i="78"/>
  <c r="W84" i="78"/>
  <c r="M87" i="78"/>
  <c r="W87" i="78"/>
  <c r="Z90" i="78"/>
  <c r="Z92" i="78"/>
  <c r="Z94" i="78"/>
  <c r="Z96" i="78"/>
  <c r="Z98" i="78"/>
  <c r="Z100" i="78"/>
  <c r="Z102" i="78"/>
  <c r="Z104" i="78"/>
  <c r="Z106" i="78"/>
  <c r="M117" i="78"/>
  <c r="W117" i="78"/>
  <c r="Z121" i="78"/>
  <c r="Z123" i="78"/>
  <c r="Z125" i="78"/>
  <c r="T126" i="78"/>
  <c r="Z131" i="78"/>
  <c r="Z133" i="78"/>
  <c r="Z135" i="78"/>
  <c r="Z149" i="78"/>
  <c r="X149" i="78"/>
  <c r="Z110" i="78"/>
  <c r="Z138" i="78"/>
  <c r="Y151" i="78" l="1"/>
  <c r="W108" i="78"/>
  <c r="Z108" i="78"/>
  <c r="W126" i="78"/>
  <c r="Z126" i="78"/>
  <c r="W151" i="78"/>
  <c r="Z151" i="78"/>
  <c r="W53" i="78"/>
  <c r="Z53" i="78"/>
  <c r="W32" i="78"/>
  <c r="Z32" i="78"/>
  <c r="U151" i="78"/>
  <c r="X151" i="78"/>
  <c r="BU80" i="77" l="1"/>
  <c r="BT80" i="77"/>
  <c r="BS80" i="77"/>
  <c r="BR80" i="77"/>
  <c r="BQ80" i="77"/>
  <c r="BP80" i="77"/>
  <c r="BO80" i="77"/>
  <c r="BN80" i="77"/>
  <c r="BM80" i="77"/>
  <c r="BL80" i="77"/>
  <c r="BH80" i="77"/>
  <c r="BG80" i="77"/>
  <c r="BF80" i="77"/>
  <c r="BD80" i="77"/>
  <c r="BC80" i="77"/>
  <c r="BB80" i="77"/>
  <c r="BA80" i="77"/>
  <c r="AZ80" i="77"/>
  <c r="AX80" i="77"/>
  <c r="AT80" i="77"/>
  <c r="AS80" i="77"/>
  <c r="AR80" i="77"/>
  <c r="AN80" i="77"/>
  <c r="AM80" i="77"/>
  <c r="AL80" i="77"/>
  <c r="AK80" i="77"/>
  <c r="AJ80" i="77"/>
  <c r="AI80" i="77"/>
  <c r="AH80" i="77"/>
  <c r="AG80" i="77"/>
  <c r="AF80" i="77"/>
  <c r="AE80" i="77"/>
  <c r="AD80" i="77"/>
  <c r="AC80" i="77"/>
  <c r="AB80" i="77"/>
  <c r="AA80" i="77"/>
  <c r="Z80" i="77"/>
  <c r="Y80" i="77"/>
  <c r="X80" i="77"/>
  <c r="T80" i="77"/>
  <c r="S80" i="77"/>
  <c r="R80" i="77"/>
  <c r="Q80" i="77"/>
  <c r="P80" i="77"/>
  <c r="O80" i="77"/>
  <c r="N80" i="77"/>
  <c r="M80" i="77"/>
  <c r="L80" i="77"/>
  <c r="K80" i="77"/>
  <c r="J80" i="77"/>
  <c r="I80" i="77"/>
  <c r="G80" i="77"/>
  <c r="E80" i="77"/>
  <c r="D80" i="77"/>
  <c r="BU79" i="77"/>
  <c r="BT79" i="77"/>
  <c r="BS79" i="77"/>
  <c r="BR79" i="77"/>
  <c r="BQ79" i="77"/>
  <c r="BP79" i="77"/>
  <c r="BO79" i="77"/>
  <c r="BN79" i="77"/>
  <c r="BM79" i="77"/>
  <c r="BL79" i="77"/>
  <c r="BH79" i="77"/>
  <c r="BG79" i="77"/>
  <c r="BF79" i="77"/>
  <c r="BD79" i="77"/>
  <c r="BC79" i="77"/>
  <c r="BB79" i="77"/>
  <c r="BA79" i="77"/>
  <c r="AZ79" i="77"/>
  <c r="AX79" i="77"/>
  <c r="AT79" i="77"/>
  <c r="AS79" i="77"/>
  <c r="AR79" i="77"/>
  <c r="AN79" i="77"/>
  <c r="AM79" i="77"/>
  <c r="AL79" i="77"/>
  <c r="AK79" i="77"/>
  <c r="AJ79" i="77"/>
  <c r="AI79" i="77"/>
  <c r="AH79" i="77"/>
  <c r="AG79" i="77"/>
  <c r="AF79" i="77"/>
  <c r="AE79" i="77"/>
  <c r="AD79" i="77"/>
  <c r="AC79" i="77"/>
  <c r="AB79" i="77"/>
  <c r="AA79" i="77"/>
  <c r="Z79" i="77"/>
  <c r="Y79" i="77"/>
  <c r="X79" i="77"/>
  <c r="T79" i="77"/>
  <c r="S79" i="77"/>
  <c r="R79" i="77"/>
  <c r="Q79" i="77"/>
  <c r="P79" i="77"/>
  <c r="O79" i="77"/>
  <c r="N79" i="77"/>
  <c r="M79" i="77"/>
  <c r="L79" i="77"/>
  <c r="K79" i="77"/>
  <c r="J79" i="77"/>
  <c r="I79" i="77"/>
  <c r="G79" i="77"/>
  <c r="E79" i="77"/>
  <c r="D79" i="77"/>
  <c r="BU78" i="77"/>
  <c r="BT78" i="77"/>
  <c r="BS78" i="77"/>
  <c r="BR78" i="77"/>
  <c r="BQ78" i="77"/>
  <c r="BP78" i="77"/>
  <c r="BO78" i="77"/>
  <c r="BN78" i="77"/>
  <c r="BM78" i="77"/>
  <c r="BL78" i="77"/>
  <c r="BH78" i="77"/>
  <c r="BG78" i="77"/>
  <c r="BF78" i="77"/>
  <c r="BD78" i="77"/>
  <c r="BC78" i="77"/>
  <c r="BB78" i="77"/>
  <c r="BA78" i="77"/>
  <c r="AZ78" i="77"/>
  <c r="AX78" i="77"/>
  <c r="AT78" i="77"/>
  <c r="AS78" i="77"/>
  <c r="AR78" i="77"/>
  <c r="AN78" i="77"/>
  <c r="AM78" i="77"/>
  <c r="AL78" i="77"/>
  <c r="AK78" i="77"/>
  <c r="AJ78" i="77"/>
  <c r="AI78" i="77"/>
  <c r="AH78" i="77"/>
  <c r="AG78" i="77"/>
  <c r="AF78" i="77"/>
  <c r="AE78" i="77"/>
  <c r="AD78" i="77"/>
  <c r="AC78" i="77"/>
  <c r="AB78" i="77"/>
  <c r="AA78" i="77"/>
  <c r="Z78" i="77"/>
  <c r="Y78" i="77"/>
  <c r="X78" i="77"/>
  <c r="T78" i="77"/>
  <c r="S78" i="77"/>
  <c r="R78" i="77"/>
  <c r="Q78" i="77"/>
  <c r="P78" i="77"/>
  <c r="O78" i="77"/>
  <c r="N78" i="77"/>
  <c r="M78" i="77"/>
  <c r="L78" i="77"/>
  <c r="K78" i="77"/>
  <c r="J78" i="77"/>
  <c r="I78" i="77"/>
  <c r="G78" i="77"/>
  <c r="E78" i="77"/>
  <c r="D78" i="77"/>
  <c r="BE77" i="77"/>
  <c r="BE80" i="77" s="1"/>
  <c r="AY77" i="77"/>
  <c r="AY80" i="77" s="1"/>
  <c r="H77" i="77"/>
  <c r="H80" i="77" s="1"/>
  <c r="F77" i="77"/>
  <c r="F80" i="77" s="1"/>
  <c r="BV76" i="77"/>
  <c r="BV75" i="77"/>
  <c r="BV74" i="77"/>
  <c r="BV73" i="77"/>
  <c r="BV72" i="77"/>
  <c r="BV71" i="77"/>
  <c r="BV70" i="77"/>
  <c r="BV69" i="77"/>
  <c r="BV68" i="77"/>
  <c r="BV67" i="77"/>
  <c r="BV66" i="77"/>
  <c r="BV65" i="77"/>
  <c r="BV64" i="77"/>
  <c r="BV63" i="77"/>
  <c r="BV62" i="77"/>
  <c r="BV61" i="77"/>
  <c r="BV60" i="77"/>
  <c r="BV59" i="77"/>
  <c r="BV58" i="77"/>
  <c r="BV57" i="77"/>
  <c r="BV56" i="77"/>
  <c r="BV55" i="77"/>
  <c r="BV54" i="77"/>
  <c r="BV53" i="77"/>
  <c r="BV52" i="77"/>
  <c r="BV51" i="77"/>
  <c r="BV50" i="77"/>
  <c r="BV49" i="77"/>
  <c r="BV48" i="77"/>
  <c r="BV47" i="77"/>
  <c r="BV46" i="77"/>
  <c r="BV45" i="77"/>
  <c r="BV44" i="77"/>
  <c r="BV43" i="77"/>
  <c r="BV42" i="77"/>
  <c r="BV41" i="77"/>
  <c r="BV40" i="77"/>
  <c r="BV39" i="77"/>
  <c r="BV38" i="77"/>
  <c r="BV37" i="77"/>
  <c r="BV36" i="77"/>
  <c r="BV35" i="77"/>
  <c r="BV34" i="77"/>
  <c r="BV33" i="77"/>
  <c r="BV32" i="77"/>
  <c r="BV31" i="77"/>
  <c r="BV30" i="77"/>
  <c r="BV29" i="77"/>
  <c r="BV28" i="77"/>
  <c r="BV27" i="77"/>
  <c r="BV26" i="77"/>
  <c r="BV25" i="77"/>
  <c r="BV24" i="77"/>
  <c r="BV23" i="77"/>
  <c r="BV22" i="77"/>
  <c r="BV21" i="77"/>
  <c r="BV20" i="77"/>
  <c r="BV19" i="77"/>
  <c r="BV18" i="77"/>
  <c r="BV17" i="77"/>
  <c r="BV16" i="77"/>
  <c r="BV15" i="77"/>
  <c r="BV14" i="77"/>
  <c r="BV13" i="77"/>
  <c r="BV12" i="77"/>
  <c r="BV11" i="77"/>
  <c r="BV10" i="77"/>
  <c r="BV9" i="77"/>
  <c r="BV8" i="77"/>
  <c r="BV7" i="77"/>
  <c r="BV6" i="77"/>
  <c r="BE79" i="77" l="1"/>
  <c r="H79" i="77"/>
  <c r="BV77" i="77"/>
  <c r="BV78" i="77" s="1"/>
  <c r="F79" i="77"/>
  <c r="AY79" i="77"/>
  <c r="BV79" i="77"/>
  <c r="F78" i="77"/>
  <c r="H78" i="77"/>
  <c r="AY78" i="77"/>
  <c r="BE78" i="77"/>
  <c r="BV80" i="77" l="1"/>
  <c r="AC87" i="76" l="1"/>
  <c r="AB87" i="76"/>
  <c r="AA87" i="76"/>
  <c r="Z87" i="76"/>
  <c r="Y87" i="76"/>
  <c r="X87" i="76"/>
  <c r="W87" i="76"/>
  <c r="V87" i="76"/>
  <c r="U87" i="76"/>
  <c r="T87" i="76"/>
  <c r="R87" i="76"/>
  <c r="P87" i="76"/>
  <c r="N87" i="76"/>
  <c r="L87" i="76"/>
  <c r="I87" i="76"/>
  <c r="G87" i="76"/>
  <c r="E87" i="76"/>
  <c r="Q86" i="76"/>
  <c r="M86" i="76"/>
  <c r="K86" i="76"/>
  <c r="S86" i="76" s="1"/>
  <c r="J86" i="76"/>
  <c r="F86" i="76"/>
  <c r="D86" i="76"/>
  <c r="H86" i="76" s="1"/>
  <c r="O85" i="76"/>
  <c r="K85" i="76"/>
  <c r="H85" i="76"/>
  <c r="D85" i="76"/>
  <c r="Q84" i="76"/>
  <c r="M84" i="76"/>
  <c r="K84" i="76"/>
  <c r="S84" i="76" s="1"/>
  <c r="J84" i="76"/>
  <c r="F84" i="76"/>
  <c r="D84" i="76"/>
  <c r="H84" i="76" s="1"/>
  <c r="S83" i="76"/>
  <c r="K83" i="76"/>
  <c r="D83" i="76"/>
  <c r="Q82" i="76"/>
  <c r="M82" i="76"/>
  <c r="K82" i="76"/>
  <c r="J82" i="76"/>
  <c r="F82" i="76"/>
  <c r="D82" i="76"/>
  <c r="H82" i="76" s="1"/>
  <c r="AC80" i="76"/>
  <c r="AB80" i="76"/>
  <c r="AA80" i="76"/>
  <c r="Z80" i="76"/>
  <c r="Y80" i="76"/>
  <c r="X80" i="76"/>
  <c r="W80" i="76"/>
  <c r="V80" i="76"/>
  <c r="U80" i="76"/>
  <c r="T80" i="76"/>
  <c r="R80" i="76"/>
  <c r="P80" i="76"/>
  <c r="N80" i="76"/>
  <c r="L80" i="76"/>
  <c r="I80" i="76"/>
  <c r="G80" i="76"/>
  <c r="E80" i="76"/>
  <c r="O79" i="76"/>
  <c r="K79" i="76"/>
  <c r="H79" i="76"/>
  <c r="D79" i="76"/>
  <c r="Q78" i="76"/>
  <c r="M78" i="76"/>
  <c r="K78" i="76"/>
  <c r="S78" i="76" s="1"/>
  <c r="J78" i="76"/>
  <c r="F78" i="76"/>
  <c r="D78" i="76"/>
  <c r="H78" i="76" s="1"/>
  <c r="S77" i="76"/>
  <c r="K77" i="76"/>
  <c r="D77" i="76"/>
  <c r="Q76" i="76"/>
  <c r="M76" i="76"/>
  <c r="K76" i="76"/>
  <c r="S76" i="76" s="1"/>
  <c r="J76" i="76"/>
  <c r="F76" i="76"/>
  <c r="D76" i="76"/>
  <c r="H76" i="76" s="1"/>
  <c r="O75" i="76"/>
  <c r="K75" i="76"/>
  <c r="H75" i="76"/>
  <c r="D75" i="76"/>
  <c r="Q74" i="76"/>
  <c r="M74" i="76"/>
  <c r="K74" i="76"/>
  <c r="S74" i="76" s="1"/>
  <c r="J74" i="76"/>
  <c r="F74" i="76"/>
  <c r="D74" i="76"/>
  <c r="H74" i="76" s="1"/>
  <c r="K73" i="76"/>
  <c r="D73" i="76"/>
  <c r="Q72" i="76"/>
  <c r="M72" i="76"/>
  <c r="K72" i="76"/>
  <c r="S72" i="76" s="1"/>
  <c r="J72" i="76"/>
  <c r="F72" i="76"/>
  <c r="D72" i="76"/>
  <c r="H72" i="76" s="1"/>
  <c r="O71" i="76"/>
  <c r="K71" i="76"/>
  <c r="H71" i="76"/>
  <c r="D71" i="76"/>
  <c r="AC69" i="76"/>
  <c r="AB69" i="76"/>
  <c r="AA69" i="76"/>
  <c r="Z69" i="76"/>
  <c r="Y69" i="76"/>
  <c r="X69" i="76"/>
  <c r="W69" i="76"/>
  <c r="V69" i="76"/>
  <c r="U69" i="76"/>
  <c r="T69" i="76"/>
  <c r="R69" i="76"/>
  <c r="P69" i="76"/>
  <c r="N69" i="76"/>
  <c r="L69" i="76"/>
  <c r="I69" i="76"/>
  <c r="G69" i="76"/>
  <c r="E69" i="76"/>
  <c r="Q68" i="76"/>
  <c r="M68" i="76"/>
  <c r="K68" i="76"/>
  <c r="S68" i="76" s="1"/>
  <c r="J68" i="76"/>
  <c r="F68" i="76"/>
  <c r="D68" i="76"/>
  <c r="H68" i="76" s="1"/>
  <c r="O67" i="76"/>
  <c r="K67" i="76"/>
  <c r="H67" i="76"/>
  <c r="D67" i="76"/>
  <c r="K66" i="76"/>
  <c r="D66" i="76"/>
  <c r="Q65" i="76"/>
  <c r="M65" i="76"/>
  <c r="K65" i="76"/>
  <c r="J65" i="76"/>
  <c r="F65" i="76"/>
  <c r="D65" i="76"/>
  <c r="H65" i="76" s="1"/>
  <c r="AC63" i="76"/>
  <c r="AB63" i="76"/>
  <c r="AA63" i="76"/>
  <c r="Z63" i="76"/>
  <c r="Y63" i="76"/>
  <c r="X63" i="76"/>
  <c r="W63" i="76"/>
  <c r="V63" i="76"/>
  <c r="U63" i="76"/>
  <c r="T63" i="76"/>
  <c r="R63" i="76"/>
  <c r="P63" i="76"/>
  <c r="N63" i="76"/>
  <c r="L63" i="76"/>
  <c r="I63" i="76"/>
  <c r="G63" i="76"/>
  <c r="E63" i="76"/>
  <c r="O62" i="76"/>
  <c r="K62" i="76"/>
  <c r="H62" i="76"/>
  <c r="D62" i="76"/>
  <c r="Q61" i="76"/>
  <c r="M61" i="76"/>
  <c r="K61" i="76"/>
  <c r="S61" i="76" s="1"/>
  <c r="J61" i="76"/>
  <c r="F61" i="76"/>
  <c r="D61" i="76"/>
  <c r="H61" i="76" s="1"/>
  <c r="K60" i="76"/>
  <c r="D60" i="76"/>
  <c r="Q59" i="76"/>
  <c r="M59" i="76"/>
  <c r="K59" i="76"/>
  <c r="S59" i="76" s="1"/>
  <c r="J59" i="76"/>
  <c r="F59" i="76"/>
  <c r="D59" i="76"/>
  <c r="H59" i="76" s="1"/>
  <c r="O58" i="76"/>
  <c r="K58" i="76"/>
  <c r="H58" i="76"/>
  <c r="D58" i="76"/>
  <c r="Q57" i="76"/>
  <c r="M57" i="76"/>
  <c r="K57" i="76"/>
  <c r="S57" i="76" s="1"/>
  <c r="J57" i="76"/>
  <c r="F57" i="76"/>
  <c r="D57" i="76"/>
  <c r="H57" i="76" s="1"/>
  <c r="K56" i="76"/>
  <c r="D56" i="76"/>
  <c r="AC54" i="76"/>
  <c r="AB54" i="76"/>
  <c r="AA54" i="76"/>
  <c r="Z54" i="76"/>
  <c r="Y54" i="76"/>
  <c r="X54" i="76"/>
  <c r="W54" i="76"/>
  <c r="V54" i="76"/>
  <c r="U54" i="76"/>
  <c r="T54" i="76"/>
  <c r="R54" i="76"/>
  <c r="P54" i="76"/>
  <c r="N54" i="76"/>
  <c r="L54" i="76"/>
  <c r="I54" i="76"/>
  <c r="G54" i="76"/>
  <c r="E54" i="76"/>
  <c r="D54" i="76"/>
  <c r="J54" i="76" s="1"/>
  <c r="Q53" i="76"/>
  <c r="M53" i="76"/>
  <c r="K53" i="76"/>
  <c r="K54" i="76" s="1"/>
  <c r="J53" i="76"/>
  <c r="F53" i="76"/>
  <c r="D53" i="76"/>
  <c r="H53" i="76" s="1"/>
  <c r="AC51" i="76"/>
  <c r="AB51" i="76"/>
  <c r="AA51" i="76"/>
  <c r="Z51" i="76"/>
  <c r="Y51" i="76"/>
  <c r="X51" i="76"/>
  <c r="W51" i="76"/>
  <c r="V51" i="76"/>
  <c r="U51" i="76"/>
  <c r="T51" i="76"/>
  <c r="R51" i="76"/>
  <c r="P51" i="76"/>
  <c r="N51" i="76"/>
  <c r="L51" i="76"/>
  <c r="I51" i="76"/>
  <c r="G51" i="76"/>
  <c r="E51" i="76"/>
  <c r="K50" i="76"/>
  <c r="D50" i="76"/>
  <c r="Q49" i="76"/>
  <c r="M49" i="76"/>
  <c r="K49" i="76"/>
  <c r="S49" i="76" s="1"/>
  <c r="J49" i="76"/>
  <c r="F49" i="76"/>
  <c r="D49" i="76"/>
  <c r="H49" i="76" s="1"/>
  <c r="O48" i="76"/>
  <c r="K48" i="76"/>
  <c r="H48" i="76"/>
  <c r="D48" i="76"/>
  <c r="Q47" i="76"/>
  <c r="M47" i="76"/>
  <c r="K47" i="76"/>
  <c r="S47" i="76" s="1"/>
  <c r="J47" i="76"/>
  <c r="F47" i="76"/>
  <c r="D47" i="76"/>
  <c r="H47" i="76" s="1"/>
  <c r="K46" i="76"/>
  <c r="D46" i="76"/>
  <c r="Q45" i="76"/>
  <c r="M45" i="76"/>
  <c r="K45" i="76"/>
  <c r="S45" i="76" s="1"/>
  <c r="J45" i="76"/>
  <c r="F45" i="76"/>
  <c r="D45" i="76"/>
  <c r="D51" i="76" s="1"/>
  <c r="AC43" i="76"/>
  <c r="AB43" i="76"/>
  <c r="AA43" i="76"/>
  <c r="Z43" i="76"/>
  <c r="Y43" i="76"/>
  <c r="X43" i="76"/>
  <c r="W43" i="76"/>
  <c r="V43" i="76"/>
  <c r="U43" i="76"/>
  <c r="T43" i="76"/>
  <c r="R43" i="76"/>
  <c r="P43" i="76"/>
  <c r="N43" i="76"/>
  <c r="L43" i="76"/>
  <c r="I43" i="76"/>
  <c r="G43" i="76"/>
  <c r="E43" i="76"/>
  <c r="O42" i="76"/>
  <c r="K42" i="76"/>
  <c r="H42" i="76"/>
  <c r="D42" i="76"/>
  <c r="Q41" i="76"/>
  <c r="M41" i="76"/>
  <c r="K41" i="76"/>
  <c r="S41" i="76" s="1"/>
  <c r="J41" i="76"/>
  <c r="F41" i="76"/>
  <c r="D41" i="76"/>
  <c r="H41" i="76" s="1"/>
  <c r="K40" i="76"/>
  <c r="D40" i="76"/>
  <c r="Q39" i="76"/>
  <c r="M39" i="76"/>
  <c r="K39" i="76"/>
  <c r="S39" i="76" s="1"/>
  <c r="J39" i="76"/>
  <c r="F39" i="76"/>
  <c r="D39" i="76"/>
  <c r="H39" i="76" s="1"/>
  <c r="O38" i="76"/>
  <c r="K38" i="76"/>
  <c r="H38" i="76"/>
  <c r="D38" i="76"/>
  <c r="Q37" i="76"/>
  <c r="M37" i="76"/>
  <c r="K37" i="76"/>
  <c r="S37" i="76" s="1"/>
  <c r="J37" i="76"/>
  <c r="F37" i="76"/>
  <c r="D37" i="76"/>
  <c r="H37" i="76" s="1"/>
  <c r="K36" i="76"/>
  <c r="D36" i="76"/>
  <c r="Q35" i="76"/>
  <c r="M35" i="76"/>
  <c r="K35" i="76"/>
  <c r="S35" i="76" s="1"/>
  <c r="J35" i="76"/>
  <c r="F35" i="76"/>
  <c r="D35" i="76"/>
  <c r="D43" i="76" s="1"/>
  <c r="AC33" i="76"/>
  <c r="AB33" i="76"/>
  <c r="AA33" i="76"/>
  <c r="Z33" i="76"/>
  <c r="Y33" i="76"/>
  <c r="X33" i="76"/>
  <c r="W33" i="76"/>
  <c r="V33" i="76"/>
  <c r="U33" i="76"/>
  <c r="T33" i="76"/>
  <c r="R33" i="76"/>
  <c r="P33" i="76"/>
  <c r="N33" i="76"/>
  <c r="L33" i="76"/>
  <c r="I33" i="76"/>
  <c r="G33" i="76"/>
  <c r="E33" i="76"/>
  <c r="O32" i="76"/>
  <c r="K32" i="76"/>
  <c r="H32" i="76"/>
  <c r="D32" i="76"/>
  <c r="Q31" i="76"/>
  <c r="M31" i="76"/>
  <c r="K31" i="76"/>
  <c r="S31" i="76" s="1"/>
  <c r="J31" i="76"/>
  <c r="F31" i="76"/>
  <c r="D31" i="76"/>
  <c r="H31" i="76" s="1"/>
  <c r="K30" i="76"/>
  <c r="D30" i="76"/>
  <c r="Q29" i="76"/>
  <c r="M29" i="76"/>
  <c r="K29" i="76"/>
  <c r="S29" i="76" s="1"/>
  <c r="J29" i="76"/>
  <c r="F29" i="76"/>
  <c r="D29" i="76"/>
  <c r="H29" i="76" s="1"/>
  <c r="O28" i="76"/>
  <c r="K28" i="76"/>
  <c r="H28" i="76"/>
  <c r="D28" i="76"/>
  <c r="Q27" i="76"/>
  <c r="M27" i="76"/>
  <c r="K27" i="76"/>
  <c r="S27" i="76" s="1"/>
  <c r="J27" i="76"/>
  <c r="F27" i="76"/>
  <c r="D27" i="76"/>
  <c r="H27" i="76" s="1"/>
  <c r="K26" i="76"/>
  <c r="D26" i="76"/>
  <c r="Q25" i="76"/>
  <c r="M25" i="76"/>
  <c r="K25" i="76"/>
  <c r="S25" i="76" s="1"/>
  <c r="J25" i="76"/>
  <c r="F25" i="76"/>
  <c r="D25" i="76"/>
  <c r="H25" i="76" s="1"/>
  <c r="O24" i="76"/>
  <c r="K24" i="76"/>
  <c r="H24" i="76"/>
  <c r="D24" i="76"/>
  <c r="Q23" i="76"/>
  <c r="M23" i="76"/>
  <c r="K23" i="76"/>
  <c r="S23" i="76" s="1"/>
  <c r="J23" i="76"/>
  <c r="F23" i="76"/>
  <c r="D23" i="76"/>
  <c r="H23" i="76" s="1"/>
  <c r="K22" i="76"/>
  <c r="K33" i="76" s="1"/>
  <c r="D22" i="76"/>
  <c r="D33" i="76" s="1"/>
  <c r="AC20" i="76"/>
  <c r="AB20" i="76"/>
  <c r="AA20" i="76"/>
  <c r="Z20" i="76"/>
  <c r="Y20" i="76"/>
  <c r="X20" i="76"/>
  <c r="W20" i="76"/>
  <c r="V20" i="76"/>
  <c r="V89" i="76" s="1"/>
  <c r="U20" i="76"/>
  <c r="T20" i="76"/>
  <c r="R20" i="76"/>
  <c r="S20" i="76" s="1"/>
  <c r="P20" i="76"/>
  <c r="N20" i="76"/>
  <c r="O20" i="76" s="1"/>
  <c r="L20" i="76"/>
  <c r="I20" i="76"/>
  <c r="G20" i="76"/>
  <c r="E20" i="76"/>
  <c r="Q19" i="76"/>
  <c r="M19" i="76"/>
  <c r="K19" i="76"/>
  <c r="S19" i="76" s="1"/>
  <c r="J19" i="76"/>
  <c r="F19" i="76"/>
  <c r="D19" i="76"/>
  <c r="H19" i="76" s="1"/>
  <c r="K18" i="76"/>
  <c r="Q18" i="76" s="1"/>
  <c r="D18" i="76"/>
  <c r="J18" i="76" s="1"/>
  <c r="Q17" i="76"/>
  <c r="M17" i="76"/>
  <c r="K17" i="76"/>
  <c r="K20" i="76" s="1"/>
  <c r="J17" i="76"/>
  <c r="F17" i="76"/>
  <c r="D17" i="76"/>
  <c r="H17" i="76" s="1"/>
  <c r="AC15" i="76"/>
  <c r="AC89" i="76" s="1"/>
  <c r="AB15" i="76"/>
  <c r="AA15" i="76"/>
  <c r="AA89" i="76" s="1"/>
  <c r="Z15" i="76"/>
  <c r="Z89" i="76" s="1"/>
  <c r="Y15" i="76"/>
  <c r="Y89" i="76" s="1"/>
  <c r="X15" i="76"/>
  <c r="W15" i="76"/>
  <c r="W89" i="76" s="1"/>
  <c r="V15" i="76"/>
  <c r="U15" i="76"/>
  <c r="U89" i="76" s="1"/>
  <c r="T15" i="76"/>
  <c r="R15" i="76"/>
  <c r="R89" i="76" s="1"/>
  <c r="P15" i="76"/>
  <c r="N15" i="76"/>
  <c r="L15" i="76"/>
  <c r="I15" i="76"/>
  <c r="I89" i="76" s="1"/>
  <c r="G15" i="76"/>
  <c r="G89" i="76" s="1"/>
  <c r="E15" i="76"/>
  <c r="E89" i="76" s="1"/>
  <c r="K14" i="76"/>
  <c r="Q14" i="76" s="1"/>
  <c r="D14" i="76"/>
  <c r="J14" i="76" s="1"/>
  <c r="Q13" i="76"/>
  <c r="M13" i="76"/>
  <c r="K13" i="76"/>
  <c r="S13" i="76" s="1"/>
  <c r="J13" i="76"/>
  <c r="F13" i="76"/>
  <c r="D13" i="76"/>
  <c r="H13" i="76" s="1"/>
  <c r="K12" i="76"/>
  <c r="Q12" i="76" s="1"/>
  <c r="D12" i="76"/>
  <c r="J12" i="76" s="1"/>
  <c r="Q11" i="76"/>
  <c r="M11" i="76"/>
  <c r="K11" i="76"/>
  <c r="S11" i="76" s="1"/>
  <c r="J11" i="76"/>
  <c r="F11" i="76"/>
  <c r="D11" i="76"/>
  <c r="H11" i="76" s="1"/>
  <c r="K10" i="76"/>
  <c r="Q10" i="76" s="1"/>
  <c r="D10" i="76"/>
  <c r="J10" i="76" s="1"/>
  <c r="Q9" i="76"/>
  <c r="M9" i="76"/>
  <c r="K9" i="76"/>
  <c r="S9" i="76" s="1"/>
  <c r="J9" i="76"/>
  <c r="F9" i="76"/>
  <c r="D9" i="76"/>
  <c r="H9" i="76" s="1"/>
  <c r="K8" i="76"/>
  <c r="Q8" i="76" s="1"/>
  <c r="D8" i="76"/>
  <c r="D15" i="76" s="1"/>
  <c r="S33" i="76" l="1"/>
  <c r="Q33" i="76"/>
  <c r="O33" i="76"/>
  <c r="M33" i="76"/>
  <c r="M20" i="76"/>
  <c r="Q20" i="76"/>
  <c r="H8" i="76"/>
  <c r="O8" i="76"/>
  <c r="S8" i="76"/>
  <c r="H10" i="76"/>
  <c r="O10" i="76"/>
  <c r="S10" i="76"/>
  <c r="H12" i="76"/>
  <c r="O12" i="76"/>
  <c r="S12" i="76"/>
  <c r="H14" i="76"/>
  <c r="O14" i="76"/>
  <c r="S14" i="76"/>
  <c r="K15" i="76"/>
  <c r="H18" i="76"/>
  <c r="O18" i="76"/>
  <c r="S18" i="76"/>
  <c r="D20" i="76"/>
  <c r="H22" i="76"/>
  <c r="O22" i="76"/>
  <c r="S22" i="76"/>
  <c r="J26" i="76"/>
  <c r="F26" i="76"/>
  <c r="Q26" i="76"/>
  <c r="M26" i="76"/>
  <c r="S26" i="76"/>
  <c r="J30" i="76"/>
  <c r="F30" i="76"/>
  <c r="Q30" i="76"/>
  <c r="M30" i="76"/>
  <c r="S30" i="76"/>
  <c r="F33" i="76"/>
  <c r="J33" i="76"/>
  <c r="J36" i="76"/>
  <c r="F36" i="76"/>
  <c r="Q36" i="76"/>
  <c r="M36" i="76"/>
  <c r="S36" i="76"/>
  <c r="J40" i="76"/>
  <c r="F40" i="76"/>
  <c r="Q40" i="76"/>
  <c r="M40" i="76"/>
  <c r="S40" i="76"/>
  <c r="F43" i="76"/>
  <c r="J43" i="76"/>
  <c r="J46" i="76"/>
  <c r="F46" i="76"/>
  <c r="Q46" i="76"/>
  <c r="M46" i="76"/>
  <c r="S46" i="76"/>
  <c r="J50" i="76"/>
  <c r="F50" i="76"/>
  <c r="Q50" i="76"/>
  <c r="M50" i="76"/>
  <c r="S50" i="76"/>
  <c r="H51" i="76"/>
  <c r="K51" i="76"/>
  <c r="M54" i="76"/>
  <c r="Q54" i="76"/>
  <c r="D63" i="76"/>
  <c r="F63" i="76" s="1"/>
  <c r="J56" i="76"/>
  <c r="F56" i="76"/>
  <c r="Q56" i="76"/>
  <c r="M56" i="76"/>
  <c r="S56" i="76"/>
  <c r="J60" i="76"/>
  <c r="F60" i="76"/>
  <c r="Q60" i="76"/>
  <c r="M60" i="76"/>
  <c r="S60" i="76"/>
  <c r="J63" i="76"/>
  <c r="J66" i="76"/>
  <c r="F66" i="76"/>
  <c r="S66" i="76"/>
  <c r="O66" i="76"/>
  <c r="M66" i="76"/>
  <c r="D69" i="76"/>
  <c r="S69" i="76"/>
  <c r="Q73" i="76"/>
  <c r="M73" i="76"/>
  <c r="O73" i="76"/>
  <c r="J77" i="76"/>
  <c r="F77" i="76"/>
  <c r="H77" i="76"/>
  <c r="J83" i="76"/>
  <c r="F83" i="76"/>
  <c r="H83" i="76"/>
  <c r="N89" i="76"/>
  <c r="F8" i="76"/>
  <c r="J8" i="76"/>
  <c r="M8" i="76"/>
  <c r="O9" i="76"/>
  <c r="F10" i="76"/>
  <c r="M10" i="76"/>
  <c r="O11" i="76"/>
  <c r="F12" i="76"/>
  <c r="M12" i="76"/>
  <c r="O13" i="76"/>
  <c r="F14" i="76"/>
  <c r="M14" i="76"/>
  <c r="F15" i="76"/>
  <c r="H15" i="76"/>
  <c r="J15" i="76"/>
  <c r="L89" i="76"/>
  <c r="P89" i="76"/>
  <c r="T89" i="76"/>
  <c r="X89" i="76"/>
  <c r="AB89" i="76"/>
  <c r="O17" i="76"/>
  <c r="S17" i="76"/>
  <c r="F18" i="76"/>
  <c r="M18" i="76"/>
  <c r="O19" i="76"/>
  <c r="F22" i="76"/>
  <c r="J22" i="76"/>
  <c r="M22" i="76"/>
  <c r="Q22" i="76"/>
  <c r="O23" i="76"/>
  <c r="J24" i="76"/>
  <c r="F24" i="76"/>
  <c r="Q24" i="76"/>
  <c r="M24" i="76"/>
  <c r="S24" i="76"/>
  <c r="H26" i="76"/>
  <c r="O26" i="76"/>
  <c r="J28" i="76"/>
  <c r="F28" i="76"/>
  <c r="Q28" i="76"/>
  <c r="M28" i="76"/>
  <c r="S28" i="76"/>
  <c r="H30" i="76"/>
  <c r="O30" i="76"/>
  <c r="J32" i="76"/>
  <c r="F32" i="76"/>
  <c r="Q32" i="76"/>
  <c r="M32" i="76"/>
  <c r="S32" i="76"/>
  <c r="H33" i="76"/>
  <c r="H36" i="76"/>
  <c r="O36" i="76"/>
  <c r="J38" i="76"/>
  <c r="F38" i="76"/>
  <c r="Q38" i="76"/>
  <c r="M38" i="76"/>
  <c r="S38" i="76"/>
  <c r="H40" i="76"/>
  <c r="O40" i="76"/>
  <c r="J42" i="76"/>
  <c r="F42" i="76"/>
  <c r="Q42" i="76"/>
  <c r="M42" i="76"/>
  <c r="S42" i="76"/>
  <c r="H43" i="76"/>
  <c r="K43" i="76"/>
  <c r="H46" i="76"/>
  <c r="O46" i="76"/>
  <c r="J48" i="76"/>
  <c r="F48" i="76"/>
  <c r="Q48" i="76"/>
  <c r="M48" i="76"/>
  <c r="S48" i="76"/>
  <c r="H50" i="76"/>
  <c r="O50" i="76"/>
  <c r="F51" i="76"/>
  <c r="J51" i="76"/>
  <c r="F54" i="76"/>
  <c r="H54" i="76"/>
  <c r="O54" i="76"/>
  <c r="S54" i="76"/>
  <c r="H56" i="76"/>
  <c r="O56" i="76"/>
  <c r="J58" i="76"/>
  <c r="F58" i="76"/>
  <c r="Q58" i="76"/>
  <c r="M58" i="76"/>
  <c r="S58" i="76"/>
  <c r="H60" i="76"/>
  <c r="O60" i="76"/>
  <c r="J62" i="76"/>
  <c r="F62" i="76"/>
  <c r="Q62" i="76"/>
  <c r="M62" i="76"/>
  <c r="S62" i="76"/>
  <c r="H63" i="76"/>
  <c r="K63" i="76"/>
  <c r="H66" i="76"/>
  <c r="Q66" i="76"/>
  <c r="J73" i="76"/>
  <c r="F73" i="76"/>
  <c r="H73" i="76"/>
  <c r="S73" i="76"/>
  <c r="Q77" i="76"/>
  <c r="M77" i="76"/>
  <c r="O77" i="76"/>
  <c r="J80" i="76"/>
  <c r="Q83" i="76"/>
  <c r="M83" i="76"/>
  <c r="O83" i="76"/>
  <c r="D87" i="76"/>
  <c r="S87" i="76"/>
  <c r="O25" i="76"/>
  <c r="O27" i="76"/>
  <c r="O29" i="76"/>
  <c r="O31" i="76"/>
  <c r="H35" i="76"/>
  <c r="O35" i="76"/>
  <c r="O37" i="76"/>
  <c r="O39" i="76"/>
  <c r="O41" i="76"/>
  <c r="H45" i="76"/>
  <c r="O45" i="76"/>
  <c r="O47" i="76"/>
  <c r="O49" i="76"/>
  <c r="O53" i="76"/>
  <c r="S53" i="76"/>
  <c r="O57" i="76"/>
  <c r="O59" i="76"/>
  <c r="O61" i="76"/>
  <c r="K69" i="76"/>
  <c r="O69" i="76" s="1"/>
  <c r="O65" i="76"/>
  <c r="S65" i="76"/>
  <c r="J67" i="76"/>
  <c r="F67" i="76"/>
  <c r="Q67" i="76"/>
  <c r="M67" i="76"/>
  <c r="S67" i="76"/>
  <c r="M69" i="76"/>
  <c r="Q69" i="76"/>
  <c r="D80" i="76"/>
  <c r="F80" i="76" s="1"/>
  <c r="J71" i="76"/>
  <c r="F71" i="76"/>
  <c r="Q71" i="76"/>
  <c r="M71" i="76"/>
  <c r="S71" i="76"/>
  <c r="J75" i="76"/>
  <c r="F75" i="76"/>
  <c r="Q75" i="76"/>
  <c r="M75" i="76"/>
  <c r="S75" i="76"/>
  <c r="J79" i="76"/>
  <c r="F79" i="76"/>
  <c r="Q79" i="76"/>
  <c r="M79" i="76"/>
  <c r="S79" i="76"/>
  <c r="H80" i="76"/>
  <c r="K80" i="76"/>
  <c r="K87" i="76"/>
  <c r="O87" i="76" s="1"/>
  <c r="J85" i="76"/>
  <c r="F85" i="76"/>
  <c r="Q85" i="76"/>
  <c r="M85" i="76"/>
  <c r="S85" i="76"/>
  <c r="M87" i="76"/>
  <c r="Q87" i="76"/>
  <c r="O68" i="76"/>
  <c r="O72" i="76"/>
  <c r="O74" i="76"/>
  <c r="O76" i="76"/>
  <c r="O78" i="76"/>
  <c r="O82" i="76"/>
  <c r="S82" i="76"/>
  <c r="O84" i="76"/>
  <c r="O86" i="76"/>
  <c r="S80" i="76" l="1"/>
  <c r="Q80" i="76"/>
  <c r="O80" i="76"/>
  <c r="M80" i="76"/>
  <c r="J87" i="76"/>
  <c r="H87" i="76"/>
  <c r="F87" i="76"/>
  <c r="S43" i="76"/>
  <c r="Q43" i="76"/>
  <c r="O43" i="76"/>
  <c r="M43" i="76"/>
  <c r="J69" i="76"/>
  <c r="H69" i="76"/>
  <c r="F69" i="76"/>
  <c r="J20" i="76"/>
  <c r="H20" i="76"/>
  <c r="F20" i="76"/>
  <c r="K89" i="76"/>
  <c r="S89" i="76" s="1"/>
  <c r="S15" i="76"/>
  <c r="Q15" i="76"/>
  <c r="O15" i="76"/>
  <c r="M15" i="76"/>
  <c r="S63" i="76"/>
  <c r="Q63" i="76"/>
  <c r="O63" i="76"/>
  <c r="M63" i="76"/>
  <c r="S51" i="76"/>
  <c r="Q51" i="76"/>
  <c r="O51" i="76"/>
  <c r="M51" i="76"/>
  <c r="D89" i="76"/>
  <c r="J89" i="76" l="1"/>
  <c r="H89" i="76"/>
  <c r="F89" i="76"/>
  <c r="M89" i="76"/>
  <c r="Q89" i="76"/>
  <c r="O89" i="76"/>
  <c r="K84" i="75" l="1"/>
  <c r="I84" i="75"/>
  <c r="G84" i="75"/>
  <c r="E84" i="75"/>
  <c r="J83" i="75"/>
  <c r="F83" i="75"/>
  <c r="D83" i="75"/>
  <c r="L83" i="75" s="1"/>
  <c r="H82" i="75"/>
  <c r="D82" i="75"/>
  <c r="J81" i="75"/>
  <c r="F81" i="75"/>
  <c r="D81" i="75"/>
  <c r="L81" i="75" s="1"/>
  <c r="H80" i="75"/>
  <c r="D80" i="75"/>
  <c r="J79" i="75"/>
  <c r="F79" i="75"/>
  <c r="D79" i="75"/>
  <c r="L79" i="75" s="1"/>
  <c r="K77" i="75"/>
  <c r="I77" i="75"/>
  <c r="G77" i="75"/>
  <c r="E77" i="75"/>
  <c r="J76" i="75"/>
  <c r="F76" i="75"/>
  <c r="D76" i="75"/>
  <c r="L76" i="75" s="1"/>
  <c r="H75" i="75"/>
  <c r="D75" i="75"/>
  <c r="J74" i="75"/>
  <c r="F74" i="75"/>
  <c r="D74" i="75"/>
  <c r="L74" i="75" s="1"/>
  <c r="H73" i="75"/>
  <c r="D73" i="75"/>
  <c r="J72" i="75"/>
  <c r="F72" i="75"/>
  <c r="D72" i="75"/>
  <c r="L72" i="75" s="1"/>
  <c r="H71" i="75"/>
  <c r="D71" i="75"/>
  <c r="J70" i="75"/>
  <c r="F70" i="75"/>
  <c r="D70" i="75"/>
  <c r="L70" i="75" s="1"/>
  <c r="H69" i="75"/>
  <c r="D69" i="75"/>
  <c r="J68" i="75"/>
  <c r="F68" i="75"/>
  <c r="D68" i="75"/>
  <c r="L68" i="75" s="1"/>
  <c r="K66" i="75"/>
  <c r="I66" i="75"/>
  <c r="G66" i="75"/>
  <c r="E66" i="75"/>
  <c r="J65" i="75"/>
  <c r="F65" i="75"/>
  <c r="D65" i="75"/>
  <c r="L65" i="75" s="1"/>
  <c r="H64" i="75"/>
  <c r="D64" i="75"/>
  <c r="J63" i="75"/>
  <c r="F63" i="75"/>
  <c r="D63" i="75"/>
  <c r="L63" i="75" s="1"/>
  <c r="H62" i="75"/>
  <c r="D62" i="75"/>
  <c r="K60" i="75"/>
  <c r="I60" i="75"/>
  <c r="G60" i="75"/>
  <c r="E60" i="75"/>
  <c r="D59" i="75"/>
  <c r="J58" i="75"/>
  <c r="F58" i="75"/>
  <c r="D58" i="75"/>
  <c r="L58" i="75" s="1"/>
  <c r="D57" i="75"/>
  <c r="J56" i="75"/>
  <c r="F56" i="75"/>
  <c r="D56" i="75"/>
  <c r="L56" i="75" s="1"/>
  <c r="D55" i="75"/>
  <c r="J54" i="75"/>
  <c r="F54" i="75"/>
  <c r="D54" i="75"/>
  <c r="L54" i="75" s="1"/>
  <c r="D53" i="75"/>
  <c r="K51" i="75"/>
  <c r="I51" i="75"/>
  <c r="G51" i="75"/>
  <c r="E51" i="75"/>
  <c r="H50" i="75"/>
  <c r="D50" i="75"/>
  <c r="K48" i="75"/>
  <c r="I48" i="75"/>
  <c r="G48" i="75"/>
  <c r="E48" i="75"/>
  <c r="D47" i="75"/>
  <c r="J46" i="75"/>
  <c r="F46" i="75"/>
  <c r="D46" i="75"/>
  <c r="L46" i="75" s="1"/>
  <c r="D45" i="75"/>
  <c r="J44" i="75"/>
  <c r="F44" i="75"/>
  <c r="D44" i="75"/>
  <c r="L44" i="75" s="1"/>
  <c r="D43" i="75"/>
  <c r="J42" i="75"/>
  <c r="F42" i="75"/>
  <c r="D42" i="75"/>
  <c r="K40" i="75"/>
  <c r="I40" i="75"/>
  <c r="G40" i="75"/>
  <c r="E40" i="75"/>
  <c r="D39" i="75"/>
  <c r="L39" i="75" s="1"/>
  <c r="J38" i="75"/>
  <c r="F38" i="75"/>
  <c r="D38" i="75"/>
  <c r="L38" i="75" s="1"/>
  <c r="D37" i="75"/>
  <c r="J37" i="75" s="1"/>
  <c r="J36" i="75"/>
  <c r="F36" i="75"/>
  <c r="D36" i="75"/>
  <c r="L36" i="75" s="1"/>
  <c r="D35" i="75"/>
  <c r="J35" i="75" s="1"/>
  <c r="J34" i="75"/>
  <c r="F34" i="75"/>
  <c r="D34" i="75"/>
  <c r="L34" i="75" s="1"/>
  <c r="D33" i="75"/>
  <c r="J33" i="75" s="1"/>
  <c r="J32" i="75"/>
  <c r="F32" i="75"/>
  <c r="D32" i="75"/>
  <c r="L32" i="75" s="1"/>
  <c r="K30" i="75"/>
  <c r="I30" i="75"/>
  <c r="G30" i="75"/>
  <c r="E30" i="75"/>
  <c r="J29" i="75"/>
  <c r="F29" i="75"/>
  <c r="D29" i="75"/>
  <c r="L29" i="75" s="1"/>
  <c r="D28" i="75"/>
  <c r="J28" i="75" s="1"/>
  <c r="J27" i="75"/>
  <c r="F27" i="75"/>
  <c r="D27" i="75"/>
  <c r="L27" i="75" s="1"/>
  <c r="D26" i="75"/>
  <c r="J26" i="75" s="1"/>
  <c r="J25" i="75"/>
  <c r="F25" i="75"/>
  <c r="D25" i="75"/>
  <c r="L25" i="75" s="1"/>
  <c r="D24" i="75"/>
  <c r="J24" i="75" s="1"/>
  <c r="J23" i="75"/>
  <c r="F23" i="75"/>
  <c r="D23" i="75"/>
  <c r="L23" i="75" s="1"/>
  <c r="D22" i="75"/>
  <c r="J22" i="75" s="1"/>
  <c r="J21" i="75"/>
  <c r="F21" i="75"/>
  <c r="D21" i="75"/>
  <c r="L21" i="75" s="1"/>
  <c r="D20" i="75"/>
  <c r="J20" i="75" s="1"/>
  <c r="J19" i="75"/>
  <c r="F19" i="75"/>
  <c r="D19" i="75"/>
  <c r="L19" i="75" s="1"/>
  <c r="K17" i="75"/>
  <c r="I17" i="75"/>
  <c r="G17" i="75"/>
  <c r="E17" i="75"/>
  <c r="J16" i="75"/>
  <c r="F16" i="75"/>
  <c r="D16" i="75"/>
  <c r="L16" i="75" s="1"/>
  <c r="D15" i="75"/>
  <c r="J15" i="75" s="1"/>
  <c r="J14" i="75"/>
  <c r="F14" i="75"/>
  <c r="D14" i="75"/>
  <c r="L14" i="75" s="1"/>
  <c r="K12" i="75"/>
  <c r="K86" i="75" s="1"/>
  <c r="I12" i="75"/>
  <c r="G12" i="75"/>
  <c r="G86" i="75" s="1"/>
  <c r="E12" i="75"/>
  <c r="J11" i="75"/>
  <c r="F11" i="75"/>
  <c r="D11" i="75"/>
  <c r="L11" i="75" s="1"/>
  <c r="D10" i="75"/>
  <c r="J10" i="75" s="1"/>
  <c r="J9" i="75"/>
  <c r="F9" i="75"/>
  <c r="D9" i="75"/>
  <c r="L9" i="75" s="1"/>
  <c r="D8" i="75"/>
  <c r="J8" i="75" s="1"/>
  <c r="J7" i="75"/>
  <c r="F7" i="75"/>
  <c r="D7" i="75"/>
  <c r="L7" i="75" s="1"/>
  <c r="D6" i="75"/>
  <c r="J6" i="75" s="1"/>
  <c r="J5" i="75"/>
  <c r="F5" i="75"/>
  <c r="D5" i="75"/>
  <c r="L5" i="75" s="1"/>
  <c r="H6" i="75" l="1"/>
  <c r="L6" i="75"/>
  <c r="H8" i="75"/>
  <c r="L8" i="75"/>
  <c r="H10" i="75"/>
  <c r="L10" i="75"/>
  <c r="D12" i="75"/>
  <c r="H15" i="75"/>
  <c r="L15" i="75"/>
  <c r="D17" i="75"/>
  <c r="H20" i="75"/>
  <c r="L20" i="75"/>
  <c r="H22" i="75"/>
  <c r="L22" i="75"/>
  <c r="H24" i="75"/>
  <c r="L24" i="75"/>
  <c r="H26" i="75"/>
  <c r="L26" i="75"/>
  <c r="H28" i="75"/>
  <c r="L28" i="75"/>
  <c r="D30" i="75"/>
  <c r="H33" i="75"/>
  <c r="L33" i="75"/>
  <c r="H35" i="75"/>
  <c r="L35" i="75"/>
  <c r="H37" i="75"/>
  <c r="L37" i="75"/>
  <c r="H39" i="75"/>
  <c r="D40" i="75"/>
  <c r="J43" i="75"/>
  <c r="F43" i="75"/>
  <c r="L43" i="75"/>
  <c r="J45" i="75"/>
  <c r="F45" i="75"/>
  <c r="L45" i="75"/>
  <c r="J47" i="75"/>
  <c r="F47" i="75"/>
  <c r="L47" i="75"/>
  <c r="D60" i="75"/>
  <c r="J53" i="75"/>
  <c r="F53" i="75"/>
  <c r="L53" i="75"/>
  <c r="J55" i="75"/>
  <c r="F55" i="75"/>
  <c r="L55" i="75"/>
  <c r="J57" i="75"/>
  <c r="F57" i="75"/>
  <c r="L57" i="75"/>
  <c r="J59" i="75"/>
  <c r="F59" i="75"/>
  <c r="L59" i="75"/>
  <c r="H60" i="75"/>
  <c r="L60" i="75"/>
  <c r="E86" i="75"/>
  <c r="I86" i="75"/>
  <c r="H5" i="75"/>
  <c r="F6" i="75"/>
  <c r="H7" i="75"/>
  <c r="F8" i="75"/>
  <c r="H9" i="75"/>
  <c r="F10" i="75"/>
  <c r="H11" i="75"/>
  <c r="H14" i="75"/>
  <c r="F15" i="75"/>
  <c r="H16" i="75"/>
  <c r="H19" i="75"/>
  <c r="F20" i="75"/>
  <c r="H21" i="75"/>
  <c r="F22" i="75"/>
  <c r="H23" i="75"/>
  <c r="F24" i="75"/>
  <c r="H25" i="75"/>
  <c r="F26" i="75"/>
  <c r="H27" i="75"/>
  <c r="F28" i="75"/>
  <c r="H29" i="75"/>
  <c r="H32" i="75"/>
  <c r="F33" i="75"/>
  <c r="H34" i="75"/>
  <c r="F35" i="75"/>
  <c r="H36" i="75"/>
  <c r="F37" i="75"/>
  <c r="H38" i="75"/>
  <c r="F39" i="75"/>
  <c r="J39" i="75"/>
  <c r="D48" i="75"/>
  <c r="H48" i="75" s="1"/>
  <c r="H43" i="75"/>
  <c r="H45" i="75"/>
  <c r="H47" i="75"/>
  <c r="F48" i="75"/>
  <c r="D51" i="75"/>
  <c r="F51" i="75" s="1"/>
  <c r="J50" i="75"/>
  <c r="F50" i="75"/>
  <c r="L50" i="75"/>
  <c r="H53" i="75"/>
  <c r="H55" i="75"/>
  <c r="H57" i="75"/>
  <c r="H59" i="75"/>
  <c r="F60" i="75"/>
  <c r="J60" i="75"/>
  <c r="J62" i="75"/>
  <c r="F62" i="75"/>
  <c r="L62" i="75"/>
  <c r="J64" i="75"/>
  <c r="F64" i="75"/>
  <c r="L64" i="75"/>
  <c r="D66" i="75"/>
  <c r="J69" i="75"/>
  <c r="F69" i="75"/>
  <c r="L69" i="75"/>
  <c r="J71" i="75"/>
  <c r="F71" i="75"/>
  <c r="L71" i="75"/>
  <c r="J73" i="75"/>
  <c r="F73" i="75"/>
  <c r="L73" i="75"/>
  <c r="J75" i="75"/>
  <c r="F75" i="75"/>
  <c r="L75" i="75"/>
  <c r="D77" i="75"/>
  <c r="J80" i="75"/>
  <c r="F80" i="75"/>
  <c r="L80" i="75"/>
  <c r="J82" i="75"/>
  <c r="F82" i="75"/>
  <c r="L82" i="75"/>
  <c r="D84" i="75"/>
  <c r="H42" i="75"/>
  <c r="L42" i="75"/>
  <c r="H44" i="75"/>
  <c r="H46" i="75"/>
  <c r="H54" i="75"/>
  <c r="H56" i="75"/>
  <c r="H58" i="75"/>
  <c r="H63" i="75"/>
  <c r="H65" i="75"/>
  <c r="H68" i="75"/>
  <c r="H70" i="75"/>
  <c r="H72" i="75"/>
  <c r="H74" i="75"/>
  <c r="H76" i="75"/>
  <c r="H79" i="75"/>
  <c r="H81" i="75"/>
  <c r="H83" i="75"/>
  <c r="L84" i="75" l="1"/>
  <c r="J84" i="75"/>
  <c r="H84" i="75"/>
  <c r="F84" i="75"/>
  <c r="L66" i="75"/>
  <c r="J66" i="75"/>
  <c r="H66" i="75"/>
  <c r="F66" i="75"/>
  <c r="H51" i="75"/>
  <c r="J51" i="75"/>
  <c r="L48" i="75"/>
  <c r="L17" i="75"/>
  <c r="J17" i="75"/>
  <c r="H17" i="75"/>
  <c r="F17" i="75"/>
  <c r="L77" i="75"/>
  <c r="J77" i="75"/>
  <c r="H77" i="75"/>
  <c r="F77" i="75"/>
  <c r="L51" i="75"/>
  <c r="J48" i="75"/>
  <c r="L40" i="75"/>
  <c r="J40" i="75"/>
  <c r="H40" i="75"/>
  <c r="F40" i="75"/>
  <c r="L30" i="75"/>
  <c r="J30" i="75"/>
  <c r="H30" i="75"/>
  <c r="F30" i="75"/>
  <c r="D86" i="75"/>
  <c r="L12" i="75"/>
  <c r="J12" i="75"/>
  <c r="H12" i="75"/>
  <c r="F12" i="75"/>
  <c r="H86" i="75" l="1"/>
  <c r="L86" i="75"/>
  <c r="F86" i="75"/>
  <c r="J86" i="75"/>
  <c r="AH89" i="74" l="1"/>
  <c r="AD89" i="74"/>
  <c r="Z89" i="74"/>
  <c r="AJ87" i="74"/>
  <c r="AK87" i="74" s="1"/>
  <c r="AH87" i="74"/>
  <c r="AI87" i="74" s="1"/>
  <c r="AF87" i="74"/>
  <c r="AG87" i="74" s="1"/>
  <c r="AD87" i="74"/>
  <c r="AE87" i="74" s="1"/>
  <c r="AB87" i="74"/>
  <c r="AC87" i="74" s="1"/>
  <c r="Z87" i="74"/>
  <c r="AA87" i="74" s="1"/>
  <c r="U87" i="74"/>
  <c r="S87" i="74"/>
  <c r="Q87" i="74"/>
  <c r="O87" i="74"/>
  <c r="M87" i="74"/>
  <c r="K87" i="74"/>
  <c r="I87" i="74"/>
  <c r="D87" i="74"/>
  <c r="T87" i="74" s="1"/>
  <c r="AK86" i="74"/>
  <c r="AI86" i="74"/>
  <c r="AG86" i="74"/>
  <c r="AE86" i="74"/>
  <c r="AC86" i="74"/>
  <c r="AA86" i="74"/>
  <c r="X86" i="74"/>
  <c r="Y86" i="74" s="1"/>
  <c r="V86" i="74"/>
  <c r="W86" i="74" s="1"/>
  <c r="T86" i="74"/>
  <c r="R86" i="74"/>
  <c r="P86" i="74"/>
  <c r="N86" i="74"/>
  <c r="L86" i="74"/>
  <c r="J86" i="74"/>
  <c r="G86" i="74"/>
  <c r="H86" i="74" s="1"/>
  <c r="E86" i="74"/>
  <c r="F86" i="74" s="1"/>
  <c r="AK85" i="74"/>
  <c r="AI85" i="74"/>
  <c r="AG85" i="74"/>
  <c r="AE85" i="74"/>
  <c r="AC85" i="74"/>
  <c r="AA85" i="74"/>
  <c r="X85" i="74"/>
  <c r="Y85" i="74" s="1"/>
  <c r="V85" i="74"/>
  <c r="W85" i="74" s="1"/>
  <c r="T85" i="74"/>
  <c r="R85" i="74"/>
  <c r="P85" i="74"/>
  <c r="N85" i="74"/>
  <c r="L85" i="74"/>
  <c r="J85" i="74"/>
  <c r="G85" i="74"/>
  <c r="H85" i="74" s="1"/>
  <c r="E85" i="74"/>
  <c r="F85" i="74" s="1"/>
  <c r="AK84" i="74"/>
  <c r="AI84" i="74"/>
  <c r="AG84" i="74"/>
  <c r="AE84" i="74"/>
  <c r="AC84" i="74"/>
  <c r="AA84" i="74"/>
  <c r="X84" i="74"/>
  <c r="Y84" i="74" s="1"/>
  <c r="V84" i="74"/>
  <c r="W84" i="74" s="1"/>
  <c r="T84" i="74"/>
  <c r="R84" i="74"/>
  <c r="P84" i="74"/>
  <c r="N84" i="74"/>
  <c r="L84" i="74"/>
  <c r="J84" i="74"/>
  <c r="G84" i="74"/>
  <c r="H84" i="74" s="1"/>
  <c r="E84" i="74"/>
  <c r="F84" i="74" s="1"/>
  <c r="AK83" i="74"/>
  <c r="AI83" i="74"/>
  <c r="AG83" i="74"/>
  <c r="AE83" i="74"/>
  <c r="AC83" i="74"/>
  <c r="AA83" i="74"/>
  <c r="X83" i="74"/>
  <c r="Y83" i="74" s="1"/>
  <c r="V83" i="74"/>
  <c r="W83" i="74" s="1"/>
  <c r="T83" i="74"/>
  <c r="R83" i="74"/>
  <c r="P83" i="74"/>
  <c r="N83" i="74"/>
  <c r="L83" i="74"/>
  <c r="J83" i="74"/>
  <c r="G83" i="74"/>
  <c r="H83" i="74" s="1"/>
  <c r="E83" i="74"/>
  <c r="F83" i="74" s="1"/>
  <c r="AK82" i="74"/>
  <c r="AI82" i="74"/>
  <c r="AG82" i="74"/>
  <c r="AE82" i="74"/>
  <c r="AC82" i="74"/>
  <c r="AA82" i="74"/>
  <c r="X82" i="74"/>
  <c r="Y82" i="74" s="1"/>
  <c r="V82" i="74"/>
  <c r="W82" i="74" s="1"/>
  <c r="T82" i="74"/>
  <c r="R82" i="74"/>
  <c r="P82" i="74"/>
  <c r="N82" i="74"/>
  <c r="L82" i="74"/>
  <c r="J82" i="74"/>
  <c r="G82" i="74"/>
  <c r="E82" i="74"/>
  <c r="AJ80" i="74"/>
  <c r="AK80" i="74" s="1"/>
  <c r="AH80" i="74"/>
  <c r="AI80" i="74" s="1"/>
  <c r="AF80" i="74"/>
  <c r="AG80" i="74" s="1"/>
  <c r="AD80" i="74"/>
  <c r="AE80" i="74" s="1"/>
  <c r="AB80" i="74"/>
  <c r="AC80" i="74" s="1"/>
  <c r="Z80" i="74"/>
  <c r="AA80" i="74" s="1"/>
  <c r="U80" i="74"/>
  <c r="S80" i="74"/>
  <c r="Q80" i="74"/>
  <c r="O80" i="74"/>
  <c r="M80" i="74"/>
  <c r="K80" i="74"/>
  <c r="I80" i="74"/>
  <c r="F80" i="74"/>
  <c r="D80" i="74"/>
  <c r="T80" i="74" s="1"/>
  <c r="AK79" i="74"/>
  <c r="AI79" i="74"/>
  <c r="AG79" i="74"/>
  <c r="AE79" i="74"/>
  <c r="AC79" i="74"/>
  <c r="AA79" i="74"/>
  <c r="X79" i="74"/>
  <c r="Y79" i="74" s="1"/>
  <c r="V79" i="74"/>
  <c r="W79" i="74" s="1"/>
  <c r="T79" i="74"/>
  <c r="R79" i="74"/>
  <c r="P79" i="74"/>
  <c r="N79" i="74"/>
  <c r="L79" i="74"/>
  <c r="J79" i="74"/>
  <c r="G79" i="74"/>
  <c r="H79" i="74" s="1"/>
  <c r="E79" i="74"/>
  <c r="F79" i="74" s="1"/>
  <c r="AK78" i="74"/>
  <c r="AI78" i="74"/>
  <c r="AG78" i="74"/>
  <c r="AE78" i="74"/>
  <c r="AC78" i="74"/>
  <c r="AA78" i="74"/>
  <c r="X78" i="74"/>
  <c r="Y78" i="74" s="1"/>
  <c r="V78" i="74"/>
  <c r="W78" i="74" s="1"/>
  <c r="T78" i="74"/>
  <c r="R78" i="74"/>
  <c r="P78" i="74"/>
  <c r="N78" i="74"/>
  <c r="L78" i="74"/>
  <c r="J78" i="74"/>
  <c r="G78" i="74"/>
  <c r="H78" i="74" s="1"/>
  <c r="E78" i="74"/>
  <c r="F78" i="74" s="1"/>
  <c r="AK77" i="74"/>
  <c r="AI77" i="74"/>
  <c r="AG77" i="74"/>
  <c r="AE77" i="74"/>
  <c r="AC77" i="74"/>
  <c r="AA77" i="74"/>
  <c r="X77" i="74"/>
  <c r="Y77" i="74" s="1"/>
  <c r="V77" i="74"/>
  <c r="W77" i="74" s="1"/>
  <c r="T77" i="74"/>
  <c r="R77" i="74"/>
  <c r="P77" i="74"/>
  <c r="N77" i="74"/>
  <c r="L77" i="74"/>
  <c r="J77" i="74"/>
  <c r="G77" i="74"/>
  <c r="H77" i="74" s="1"/>
  <c r="E77" i="74"/>
  <c r="F77" i="74" s="1"/>
  <c r="AK76" i="74"/>
  <c r="AI76" i="74"/>
  <c r="AG76" i="74"/>
  <c r="AE76" i="74"/>
  <c r="AC76" i="74"/>
  <c r="AA76" i="74"/>
  <c r="X76" i="74"/>
  <c r="Y76" i="74" s="1"/>
  <c r="V76" i="74"/>
  <c r="W76" i="74" s="1"/>
  <c r="T76" i="74"/>
  <c r="R76" i="74"/>
  <c r="P76" i="74"/>
  <c r="N76" i="74"/>
  <c r="L76" i="74"/>
  <c r="J76" i="74"/>
  <c r="G76" i="74"/>
  <c r="H76" i="74" s="1"/>
  <c r="E76" i="74"/>
  <c r="F76" i="74" s="1"/>
  <c r="AK75" i="74"/>
  <c r="AI75" i="74"/>
  <c r="AG75" i="74"/>
  <c r="AE75" i="74"/>
  <c r="AC75" i="74"/>
  <c r="AA75" i="74"/>
  <c r="X75" i="74"/>
  <c r="Y75" i="74" s="1"/>
  <c r="V75" i="74"/>
  <c r="W75" i="74" s="1"/>
  <c r="T75" i="74"/>
  <c r="R75" i="74"/>
  <c r="P75" i="74"/>
  <c r="N75" i="74"/>
  <c r="L75" i="74"/>
  <c r="J75" i="74"/>
  <c r="G75" i="74"/>
  <c r="H75" i="74" s="1"/>
  <c r="E75" i="74"/>
  <c r="F75" i="74" s="1"/>
  <c r="AK74" i="74"/>
  <c r="AI74" i="74"/>
  <c r="AG74" i="74"/>
  <c r="AE74" i="74"/>
  <c r="AC74" i="74"/>
  <c r="AA74" i="74"/>
  <c r="X74" i="74"/>
  <c r="Y74" i="74" s="1"/>
  <c r="V74" i="74"/>
  <c r="W74" i="74" s="1"/>
  <c r="T74" i="74"/>
  <c r="R74" i="74"/>
  <c r="P74" i="74"/>
  <c r="N74" i="74"/>
  <c r="L74" i="74"/>
  <c r="J74" i="74"/>
  <c r="G74" i="74"/>
  <c r="H74" i="74" s="1"/>
  <c r="E74" i="74"/>
  <c r="F74" i="74" s="1"/>
  <c r="AK73" i="74"/>
  <c r="AI73" i="74"/>
  <c r="AG73" i="74"/>
  <c r="AE73" i="74"/>
  <c r="AC73" i="74"/>
  <c r="AA73" i="74"/>
  <c r="X73" i="74"/>
  <c r="Y73" i="74" s="1"/>
  <c r="V73" i="74"/>
  <c r="W73" i="74" s="1"/>
  <c r="T73" i="74"/>
  <c r="R73" i="74"/>
  <c r="P73" i="74"/>
  <c r="N73" i="74"/>
  <c r="L73" i="74"/>
  <c r="J73" i="74"/>
  <c r="G73" i="74"/>
  <c r="H73" i="74" s="1"/>
  <c r="E73" i="74"/>
  <c r="F73" i="74" s="1"/>
  <c r="AK72" i="74"/>
  <c r="AI72" i="74"/>
  <c r="AG72" i="74"/>
  <c r="AE72" i="74"/>
  <c r="AC72" i="74"/>
  <c r="AA72" i="74"/>
  <c r="Y72" i="74"/>
  <c r="X72" i="74"/>
  <c r="W72" i="74"/>
  <c r="V72" i="74"/>
  <c r="T72" i="74"/>
  <c r="R72" i="74"/>
  <c r="P72" i="74"/>
  <c r="N72" i="74"/>
  <c r="L72" i="74"/>
  <c r="J72" i="74"/>
  <c r="H72" i="74"/>
  <c r="G72" i="74"/>
  <c r="F72" i="74"/>
  <c r="E72" i="74"/>
  <c r="AK71" i="74"/>
  <c r="AI71" i="74"/>
  <c r="AG71" i="74"/>
  <c r="AE71" i="74"/>
  <c r="AC71" i="74"/>
  <c r="AA71" i="74"/>
  <c r="Y71" i="74"/>
  <c r="X71" i="74"/>
  <c r="W71" i="74"/>
  <c r="V71" i="74"/>
  <c r="V80" i="74" s="1"/>
  <c r="W80" i="74" s="1"/>
  <c r="T71" i="74"/>
  <c r="R71" i="74"/>
  <c r="P71" i="74"/>
  <c r="N71" i="74"/>
  <c r="L71" i="74"/>
  <c r="J71" i="74"/>
  <c r="H71" i="74"/>
  <c r="G71" i="74"/>
  <c r="F71" i="74"/>
  <c r="E71" i="74"/>
  <c r="E80" i="74" s="1"/>
  <c r="AJ69" i="74"/>
  <c r="AH69" i="74"/>
  <c r="AF69" i="74"/>
  <c r="AD69" i="74"/>
  <c r="AB69" i="74"/>
  <c r="Z69" i="74"/>
  <c r="U69" i="74"/>
  <c r="AK69" i="74" s="1"/>
  <c r="S69" i="74"/>
  <c r="T69" i="74" s="1"/>
  <c r="Q69" i="74"/>
  <c r="R69" i="74" s="1"/>
  <c r="O69" i="74"/>
  <c r="P69" i="74" s="1"/>
  <c r="M69" i="74"/>
  <c r="N69" i="74" s="1"/>
  <c r="K69" i="74"/>
  <c r="L69" i="74" s="1"/>
  <c r="I69" i="74"/>
  <c r="J69" i="74" s="1"/>
  <c r="G69" i="74"/>
  <c r="H69" i="74" s="1"/>
  <c r="E69" i="74"/>
  <c r="F69" i="74" s="1"/>
  <c r="D69" i="74"/>
  <c r="AK68" i="74"/>
  <c r="AI68" i="74"/>
  <c r="AG68" i="74"/>
  <c r="AE68" i="74"/>
  <c r="AC68" i="74"/>
  <c r="AA68" i="74"/>
  <c r="Y68" i="74"/>
  <c r="X68" i="74"/>
  <c r="W68" i="74"/>
  <c r="V68" i="74"/>
  <c r="T68" i="74"/>
  <c r="R68" i="74"/>
  <c r="P68" i="74"/>
  <c r="N68" i="74"/>
  <c r="L68" i="74"/>
  <c r="J68" i="74"/>
  <c r="H68" i="74"/>
  <c r="G68" i="74"/>
  <c r="F68" i="74"/>
  <c r="E68" i="74"/>
  <c r="AK67" i="74"/>
  <c r="AI67" i="74"/>
  <c r="AG67" i="74"/>
  <c r="AE67" i="74"/>
  <c r="AC67" i="74"/>
  <c r="AA67" i="74"/>
  <c r="Y67" i="74"/>
  <c r="X67" i="74"/>
  <c r="W67" i="74"/>
  <c r="V67" i="74"/>
  <c r="T67" i="74"/>
  <c r="R67" i="74"/>
  <c r="P67" i="74"/>
  <c r="N67" i="74"/>
  <c r="L67" i="74"/>
  <c r="J67" i="74"/>
  <c r="H67" i="74"/>
  <c r="G67" i="74"/>
  <c r="F67" i="74"/>
  <c r="E67" i="74"/>
  <c r="AK66" i="74"/>
  <c r="AI66" i="74"/>
  <c r="AG66" i="74"/>
  <c r="AE66" i="74"/>
  <c r="AC66" i="74"/>
  <c r="AA66" i="74"/>
  <c r="Y66" i="74"/>
  <c r="X66" i="74"/>
  <c r="W66" i="74"/>
  <c r="V66" i="74"/>
  <c r="T66" i="74"/>
  <c r="R66" i="74"/>
  <c r="P66" i="74"/>
  <c r="N66" i="74"/>
  <c r="L66" i="74"/>
  <c r="J66" i="74"/>
  <c r="H66" i="74"/>
  <c r="G66" i="74"/>
  <c r="F66" i="74"/>
  <c r="E66" i="74"/>
  <c r="AK65" i="74"/>
  <c r="AI65" i="74"/>
  <c r="AG65" i="74"/>
  <c r="AE65" i="74"/>
  <c r="AC65" i="74"/>
  <c r="AA65" i="74"/>
  <c r="Y65" i="74"/>
  <c r="X65" i="74"/>
  <c r="X69" i="74" s="1"/>
  <c r="Y69" i="74" s="1"/>
  <c r="W65" i="74"/>
  <c r="V65" i="74"/>
  <c r="V69" i="74" s="1"/>
  <c r="W69" i="74" s="1"/>
  <c r="T65" i="74"/>
  <c r="R65" i="74"/>
  <c r="P65" i="74"/>
  <c r="N65" i="74"/>
  <c r="L65" i="74"/>
  <c r="J65" i="74"/>
  <c r="H65" i="74"/>
  <c r="G65" i="74"/>
  <c r="F65" i="74"/>
  <c r="E65" i="74"/>
  <c r="AJ63" i="74"/>
  <c r="AH63" i="74"/>
  <c r="AF63" i="74"/>
  <c r="AD63" i="74"/>
  <c r="AB63" i="74"/>
  <c r="Z63" i="74"/>
  <c r="U63" i="74"/>
  <c r="AK63" i="74" s="1"/>
  <c r="S63" i="74"/>
  <c r="T63" i="74" s="1"/>
  <c r="Q63" i="74"/>
  <c r="R63" i="74" s="1"/>
  <c r="O63" i="74"/>
  <c r="P63" i="74" s="1"/>
  <c r="M63" i="74"/>
  <c r="N63" i="74" s="1"/>
  <c r="K63" i="74"/>
  <c r="L63" i="74" s="1"/>
  <c r="I63" i="74"/>
  <c r="J63" i="74" s="1"/>
  <c r="G63" i="74"/>
  <c r="H63" i="74" s="1"/>
  <c r="E63" i="74"/>
  <c r="F63" i="74" s="1"/>
  <c r="D63" i="74"/>
  <c r="AK62" i="74"/>
  <c r="AI62" i="74"/>
  <c r="AG62" i="74"/>
  <c r="AE62" i="74"/>
  <c r="AC62" i="74"/>
  <c r="AA62" i="74"/>
  <c r="Y62" i="74"/>
  <c r="X62" i="74"/>
  <c r="W62" i="74"/>
  <c r="V62" i="74"/>
  <c r="T62" i="74"/>
  <c r="R62" i="74"/>
  <c r="P62" i="74"/>
  <c r="N62" i="74"/>
  <c r="L62" i="74"/>
  <c r="J62" i="74"/>
  <c r="H62" i="74"/>
  <c r="G62" i="74"/>
  <c r="F62" i="74"/>
  <c r="E62" i="74"/>
  <c r="AK61" i="74"/>
  <c r="AI61" i="74"/>
  <c r="AG61" i="74"/>
  <c r="AE61" i="74"/>
  <c r="AC61" i="74"/>
  <c r="AA61" i="74"/>
  <c r="Y61" i="74"/>
  <c r="X61" i="74"/>
  <c r="W61" i="74"/>
  <c r="V61" i="74"/>
  <c r="T61" i="74"/>
  <c r="R61" i="74"/>
  <c r="P61" i="74"/>
  <c r="N61" i="74"/>
  <c r="L61" i="74"/>
  <c r="J61" i="74"/>
  <c r="H61" i="74"/>
  <c r="G61" i="74"/>
  <c r="F61" i="74"/>
  <c r="E61" i="74"/>
  <c r="AK60" i="74"/>
  <c r="AI60" i="74"/>
  <c r="AG60" i="74"/>
  <c r="AE60" i="74"/>
  <c r="AC60" i="74"/>
  <c r="AA60" i="74"/>
  <c r="Y60" i="74"/>
  <c r="X60" i="74"/>
  <c r="W60" i="74"/>
  <c r="V60" i="74"/>
  <c r="T60" i="74"/>
  <c r="R60" i="74"/>
  <c r="P60" i="74"/>
  <c r="N60" i="74"/>
  <c r="L60" i="74"/>
  <c r="J60" i="74"/>
  <c r="H60" i="74"/>
  <c r="G60" i="74"/>
  <c r="F60" i="74"/>
  <c r="E60" i="74"/>
  <c r="AK59" i="74"/>
  <c r="AI59" i="74"/>
  <c r="AG59" i="74"/>
  <c r="AE59" i="74"/>
  <c r="AC59" i="74"/>
  <c r="AA59" i="74"/>
  <c r="Y59" i="74"/>
  <c r="X59" i="74"/>
  <c r="W59" i="74"/>
  <c r="V59" i="74"/>
  <c r="T59" i="74"/>
  <c r="R59" i="74"/>
  <c r="P59" i="74"/>
  <c r="N59" i="74"/>
  <c r="L59" i="74"/>
  <c r="J59" i="74"/>
  <c r="H59" i="74"/>
  <c r="G59" i="74"/>
  <c r="F59" i="74"/>
  <c r="E59" i="74"/>
  <c r="AK58" i="74"/>
  <c r="AI58" i="74"/>
  <c r="AG58" i="74"/>
  <c r="AE58" i="74"/>
  <c r="AC58" i="74"/>
  <c r="AA58" i="74"/>
  <c r="Y58" i="74"/>
  <c r="X58" i="74"/>
  <c r="W58" i="74"/>
  <c r="V58" i="74"/>
  <c r="T58" i="74"/>
  <c r="R58" i="74"/>
  <c r="P58" i="74"/>
  <c r="N58" i="74"/>
  <c r="L58" i="74"/>
  <c r="J58" i="74"/>
  <c r="H58" i="74"/>
  <c r="G58" i="74"/>
  <c r="F58" i="74"/>
  <c r="E58" i="74"/>
  <c r="AK57" i="74"/>
  <c r="AI57" i="74"/>
  <c r="AG57" i="74"/>
  <c r="AE57" i="74"/>
  <c r="AC57" i="74"/>
  <c r="AA57" i="74"/>
  <c r="Y57" i="74"/>
  <c r="X57" i="74"/>
  <c r="W57" i="74"/>
  <c r="V57" i="74"/>
  <c r="T57" i="74"/>
  <c r="R57" i="74"/>
  <c r="P57" i="74"/>
  <c r="N57" i="74"/>
  <c r="L57" i="74"/>
  <c r="J57" i="74"/>
  <c r="H57" i="74"/>
  <c r="G57" i="74"/>
  <c r="F57" i="74"/>
  <c r="E57" i="74"/>
  <c r="AK56" i="74"/>
  <c r="AI56" i="74"/>
  <c r="AG56" i="74"/>
  <c r="AE56" i="74"/>
  <c r="AC56" i="74"/>
  <c r="AA56" i="74"/>
  <c r="Y56" i="74"/>
  <c r="X56" i="74"/>
  <c r="X63" i="74" s="1"/>
  <c r="Y63" i="74" s="1"/>
  <c r="W56" i="74"/>
  <c r="V56" i="74"/>
  <c r="V63" i="74" s="1"/>
  <c r="W63" i="74" s="1"/>
  <c r="T56" i="74"/>
  <c r="R56" i="74"/>
  <c r="P56" i="74"/>
  <c r="N56" i="74"/>
  <c r="L56" i="74"/>
  <c r="J56" i="74"/>
  <c r="H56" i="74"/>
  <c r="G56" i="74"/>
  <c r="F56" i="74"/>
  <c r="E56" i="74"/>
  <c r="AJ54" i="74"/>
  <c r="AH54" i="74"/>
  <c r="AF54" i="74"/>
  <c r="AD54" i="74"/>
  <c r="AB54" i="74"/>
  <c r="Z54" i="74"/>
  <c r="U54" i="74"/>
  <c r="AK54" i="74" s="1"/>
  <c r="S54" i="74"/>
  <c r="T54" i="74" s="1"/>
  <c r="Q54" i="74"/>
  <c r="R54" i="74" s="1"/>
  <c r="O54" i="74"/>
  <c r="P54" i="74" s="1"/>
  <c r="M54" i="74"/>
  <c r="N54" i="74" s="1"/>
  <c r="K54" i="74"/>
  <c r="L54" i="74" s="1"/>
  <c r="I54" i="74"/>
  <c r="J54" i="74" s="1"/>
  <c r="G54" i="74"/>
  <c r="H54" i="74" s="1"/>
  <c r="E54" i="74"/>
  <c r="F54" i="74" s="1"/>
  <c r="D54" i="74"/>
  <c r="AK53" i="74"/>
  <c r="AI53" i="74"/>
  <c r="AG53" i="74"/>
  <c r="AE53" i="74"/>
  <c r="AC53" i="74"/>
  <c r="AA53" i="74"/>
  <c r="Y53" i="74"/>
  <c r="X53" i="74"/>
  <c r="X54" i="74" s="1"/>
  <c r="Y54" i="74" s="1"/>
  <c r="W53" i="74"/>
  <c r="V53" i="74"/>
  <c r="V54" i="74" s="1"/>
  <c r="W54" i="74" s="1"/>
  <c r="T53" i="74"/>
  <c r="R53" i="74"/>
  <c r="P53" i="74"/>
  <c r="N53" i="74"/>
  <c r="L53" i="74"/>
  <c r="J53" i="74"/>
  <c r="H53" i="74"/>
  <c r="G53" i="74"/>
  <c r="F53" i="74"/>
  <c r="E53" i="74"/>
  <c r="AJ51" i="74"/>
  <c r="AH51" i="74"/>
  <c r="AF51" i="74"/>
  <c r="AD51" i="74"/>
  <c r="AB51" i="74"/>
  <c r="Z51" i="74"/>
  <c r="U51" i="74"/>
  <c r="S51" i="74"/>
  <c r="T51" i="74" s="1"/>
  <c r="Q51" i="74"/>
  <c r="R51" i="74" s="1"/>
  <c r="O51" i="74"/>
  <c r="P51" i="74" s="1"/>
  <c r="M51" i="74"/>
  <c r="N51" i="74" s="1"/>
  <c r="K51" i="74"/>
  <c r="L51" i="74" s="1"/>
  <c r="I51" i="74"/>
  <c r="J51" i="74" s="1"/>
  <c r="G51" i="74"/>
  <c r="H51" i="74" s="1"/>
  <c r="E51" i="74"/>
  <c r="F51" i="74" s="1"/>
  <c r="D51" i="74"/>
  <c r="AK50" i="74"/>
  <c r="AI50" i="74"/>
  <c r="AG50" i="74"/>
  <c r="AE50" i="74"/>
  <c r="AC50" i="74"/>
  <c r="AA50" i="74"/>
  <c r="Y50" i="74"/>
  <c r="X50" i="74"/>
  <c r="W50" i="74"/>
  <c r="V50" i="74"/>
  <c r="T50" i="74"/>
  <c r="R50" i="74"/>
  <c r="P50" i="74"/>
  <c r="N50" i="74"/>
  <c r="L50" i="74"/>
  <c r="J50" i="74"/>
  <c r="H50" i="74"/>
  <c r="G50" i="74"/>
  <c r="F50" i="74"/>
  <c r="E50" i="74"/>
  <c r="AK49" i="74"/>
  <c r="AI49" i="74"/>
  <c r="AG49" i="74"/>
  <c r="AE49" i="74"/>
  <c r="AC49" i="74"/>
  <c r="AA49" i="74"/>
  <c r="Y49" i="74"/>
  <c r="X49" i="74"/>
  <c r="W49" i="74"/>
  <c r="V49" i="74"/>
  <c r="T49" i="74"/>
  <c r="R49" i="74"/>
  <c r="P49" i="74"/>
  <c r="N49" i="74"/>
  <c r="L49" i="74"/>
  <c r="J49" i="74"/>
  <c r="H49" i="74"/>
  <c r="G49" i="74"/>
  <c r="F49" i="74"/>
  <c r="E49" i="74"/>
  <c r="AK48" i="74"/>
  <c r="AI48" i="74"/>
  <c r="AG48" i="74"/>
  <c r="AE48" i="74"/>
  <c r="AC48" i="74"/>
  <c r="AA48" i="74"/>
  <c r="Y48" i="74"/>
  <c r="X48" i="74"/>
  <c r="W48" i="74"/>
  <c r="V48" i="74"/>
  <c r="T48" i="74"/>
  <c r="R48" i="74"/>
  <c r="P48" i="74"/>
  <c r="N48" i="74"/>
  <c r="L48" i="74"/>
  <c r="J48" i="74"/>
  <c r="H48" i="74"/>
  <c r="G48" i="74"/>
  <c r="F48" i="74"/>
  <c r="E48" i="74"/>
  <c r="AK47" i="74"/>
  <c r="AI47" i="74"/>
  <c r="AG47" i="74"/>
  <c r="AE47" i="74"/>
  <c r="AC47" i="74"/>
  <c r="AA47" i="74"/>
  <c r="Y47" i="74"/>
  <c r="X47" i="74"/>
  <c r="W47" i="74"/>
  <c r="V47" i="74"/>
  <c r="T47" i="74"/>
  <c r="R47" i="74"/>
  <c r="P47" i="74"/>
  <c r="N47" i="74"/>
  <c r="L47" i="74"/>
  <c r="J47" i="74"/>
  <c r="H47" i="74"/>
  <c r="G47" i="74"/>
  <c r="F47" i="74"/>
  <c r="E47" i="74"/>
  <c r="AK46" i="74"/>
  <c r="AI46" i="74"/>
  <c r="AG46" i="74"/>
  <c r="AE46" i="74"/>
  <c r="AC46" i="74"/>
  <c r="AA46" i="74"/>
  <c r="Y46" i="74"/>
  <c r="X46" i="74"/>
  <c r="W46" i="74"/>
  <c r="V46" i="74"/>
  <c r="T46" i="74"/>
  <c r="R46" i="74"/>
  <c r="P46" i="74"/>
  <c r="N46" i="74"/>
  <c r="L46" i="74"/>
  <c r="J46" i="74"/>
  <c r="H46" i="74"/>
  <c r="G46" i="74"/>
  <c r="F46" i="74"/>
  <c r="E46" i="74"/>
  <c r="AK45" i="74"/>
  <c r="AI45" i="74"/>
  <c r="AG45" i="74"/>
  <c r="AE45" i="74"/>
  <c r="AC45" i="74"/>
  <c r="AA45" i="74"/>
  <c r="Y45" i="74"/>
  <c r="X45" i="74"/>
  <c r="X51" i="74" s="1"/>
  <c r="W45" i="74"/>
  <c r="V45" i="74"/>
  <c r="V51" i="74" s="1"/>
  <c r="W51" i="74" s="1"/>
  <c r="T45" i="74"/>
  <c r="R45" i="74"/>
  <c r="P45" i="74"/>
  <c r="N45" i="74"/>
  <c r="L45" i="74"/>
  <c r="J45" i="74"/>
  <c r="H45" i="74"/>
  <c r="G45" i="74"/>
  <c r="F45" i="74"/>
  <c r="E45" i="74"/>
  <c r="AJ43" i="74"/>
  <c r="AH43" i="74"/>
  <c r="AF43" i="74"/>
  <c r="AD43" i="74"/>
  <c r="AB43" i="74"/>
  <c r="Z43" i="74"/>
  <c r="U43" i="74"/>
  <c r="AK43" i="74" s="1"/>
  <c r="S43" i="74"/>
  <c r="T43" i="74" s="1"/>
  <c r="Q43" i="74"/>
  <c r="R43" i="74" s="1"/>
  <c r="O43" i="74"/>
  <c r="P43" i="74" s="1"/>
  <c r="M43" i="74"/>
  <c r="N43" i="74" s="1"/>
  <c r="K43" i="74"/>
  <c r="L43" i="74" s="1"/>
  <c r="I43" i="74"/>
  <c r="J43" i="74" s="1"/>
  <c r="G43" i="74"/>
  <c r="H43" i="74" s="1"/>
  <c r="E43" i="74"/>
  <c r="F43" i="74" s="1"/>
  <c r="D43" i="74"/>
  <c r="AK42" i="74"/>
  <c r="AI42" i="74"/>
  <c r="AG42" i="74"/>
  <c r="AE42" i="74"/>
  <c r="AC42" i="74"/>
  <c r="AA42" i="74"/>
  <c r="Y42" i="74"/>
  <c r="X42" i="74"/>
  <c r="W42" i="74"/>
  <c r="V42" i="74"/>
  <c r="T42" i="74"/>
  <c r="R42" i="74"/>
  <c r="P42" i="74"/>
  <c r="N42" i="74"/>
  <c r="L42" i="74"/>
  <c r="J42" i="74"/>
  <c r="H42" i="74"/>
  <c r="G42" i="74"/>
  <c r="F42" i="74"/>
  <c r="E42" i="74"/>
  <c r="AK41" i="74"/>
  <c r="AI41" i="74"/>
  <c r="AG41" i="74"/>
  <c r="AE41" i="74"/>
  <c r="AC41" i="74"/>
  <c r="AA41" i="74"/>
  <c r="Y41" i="74"/>
  <c r="X41" i="74"/>
  <c r="W41" i="74"/>
  <c r="V41" i="74"/>
  <c r="T41" i="74"/>
  <c r="R41" i="74"/>
  <c r="P41" i="74"/>
  <c r="N41" i="74"/>
  <c r="L41" i="74"/>
  <c r="J41" i="74"/>
  <c r="H41" i="74"/>
  <c r="G41" i="74"/>
  <c r="F41" i="74"/>
  <c r="E41" i="74"/>
  <c r="AK40" i="74"/>
  <c r="AI40" i="74"/>
  <c r="AG40" i="74"/>
  <c r="AE40" i="74"/>
  <c r="AC40" i="74"/>
  <c r="AA40" i="74"/>
  <c r="Y40" i="74"/>
  <c r="X40" i="74"/>
  <c r="W40" i="74"/>
  <c r="V40" i="74"/>
  <c r="T40" i="74"/>
  <c r="R40" i="74"/>
  <c r="P40" i="74"/>
  <c r="N40" i="74"/>
  <c r="L40" i="74"/>
  <c r="J40" i="74"/>
  <c r="H40" i="74"/>
  <c r="G40" i="74"/>
  <c r="F40" i="74"/>
  <c r="E40" i="74"/>
  <c r="AK39" i="74"/>
  <c r="AI39" i="74"/>
  <c r="AG39" i="74"/>
  <c r="AE39" i="74"/>
  <c r="AC39" i="74"/>
  <c r="AA39" i="74"/>
  <c r="Y39" i="74"/>
  <c r="X39" i="74"/>
  <c r="W39" i="74"/>
  <c r="V39" i="74"/>
  <c r="T39" i="74"/>
  <c r="R39" i="74"/>
  <c r="P39" i="74"/>
  <c r="N39" i="74"/>
  <c r="L39" i="74"/>
  <c r="J39" i="74"/>
  <c r="H39" i="74"/>
  <c r="G39" i="74"/>
  <c r="F39" i="74"/>
  <c r="E39" i="74"/>
  <c r="AK38" i="74"/>
  <c r="AI38" i="74"/>
  <c r="AG38" i="74"/>
  <c r="AE38" i="74"/>
  <c r="AC38" i="74"/>
  <c r="AA38" i="74"/>
  <c r="Y38" i="74"/>
  <c r="X38" i="74"/>
  <c r="W38" i="74"/>
  <c r="V38" i="74"/>
  <c r="T38" i="74"/>
  <c r="R38" i="74"/>
  <c r="P38" i="74"/>
  <c r="N38" i="74"/>
  <c r="L38" i="74"/>
  <c r="J38" i="74"/>
  <c r="H38" i="74"/>
  <c r="G38" i="74"/>
  <c r="F38" i="74"/>
  <c r="E38" i="74"/>
  <c r="AK37" i="74"/>
  <c r="AI37" i="74"/>
  <c r="AG37" i="74"/>
  <c r="AE37" i="74"/>
  <c r="AC37" i="74"/>
  <c r="AA37" i="74"/>
  <c r="Y37" i="74"/>
  <c r="X37" i="74"/>
  <c r="W37" i="74"/>
  <c r="V37" i="74"/>
  <c r="T37" i="74"/>
  <c r="R37" i="74"/>
  <c r="P37" i="74"/>
  <c r="N37" i="74"/>
  <c r="L37" i="74"/>
  <c r="J37" i="74"/>
  <c r="H37" i="74"/>
  <c r="G37" i="74"/>
  <c r="F37" i="74"/>
  <c r="E37" i="74"/>
  <c r="AK36" i="74"/>
  <c r="AI36" i="74"/>
  <c r="AG36" i="74"/>
  <c r="AE36" i="74"/>
  <c r="AC36" i="74"/>
  <c r="AA36" i="74"/>
  <c r="Y36" i="74"/>
  <c r="X36" i="74"/>
  <c r="W36" i="74"/>
  <c r="V36" i="74"/>
  <c r="T36" i="74"/>
  <c r="R36" i="74"/>
  <c r="P36" i="74"/>
  <c r="N36" i="74"/>
  <c r="L36" i="74"/>
  <c r="J36" i="74"/>
  <c r="H36" i="74"/>
  <c r="G36" i="74"/>
  <c r="F36" i="74"/>
  <c r="E36" i="74"/>
  <c r="AK35" i="74"/>
  <c r="AI35" i="74"/>
  <c r="AG35" i="74"/>
  <c r="AE35" i="74"/>
  <c r="AC35" i="74"/>
  <c r="AA35" i="74"/>
  <c r="Y35" i="74"/>
  <c r="X35" i="74"/>
  <c r="X43" i="74" s="1"/>
  <c r="W35" i="74"/>
  <c r="V35" i="74"/>
  <c r="V43" i="74" s="1"/>
  <c r="W43" i="74" s="1"/>
  <c r="T35" i="74"/>
  <c r="R35" i="74"/>
  <c r="P35" i="74"/>
  <c r="N35" i="74"/>
  <c r="L35" i="74"/>
  <c r="J35" i="74"/>
  <c r="H35" i="74"/>
  <c r="G35" i="74"/>
  <c r="F35" i="74"/>
  <c r="E35" i="74"/>
  <c r="AJ33" i="74"/>
  <c r="AH33" i="74"/>
  <c r="AF33" i="74"/>
  <c r="AD33" i="74"/>
  <c r="AB33" i="74"/>
  <c r="Z33" i="74"/>
  <c r="U33" i="74"/>
  <c r="AK33" i="74" s="1"/>
  <c r="S33" i="74"/>
  <c r="T33" i="74" s="1"/>
  <c r="Q33" i="74"/>
  <c r="R33" i="74" s="1"/>
  <c r="O33" i="74"/>
  <c r="P33" i="74" s="1"/>
  <c r="M33" i="74"/>
  <c r="N33" i="74" s="1"/>
  <c r="K33" i="74"/>
  <c r="L33" i="74" s="1"/>
  <c r="I33" i="74"/>
  <c r="J33" i="74" s="1"/>
  <c r="G33" i="74"/>
  <c r="H33" i="74" s="1"/>
  <c r="E33" i="74"/>
  <c r="F33" i="74" s="1"/>
  <c r="D33" i="74"/>
  <c r="AK32" i="74"/>
  <c r="AI32" i="74"/>
  <c r="AG32" i="74"/>
  <c r="AE32" i="74"/>
  <c r="AC32" i="74"/>
  <c r="AA32" i="74"/>
  <c r="Y32" i="74"/>
  <c r="X32" i="74"/>
  <c r="W32" i="74"/>
  <c r="V32" i="74"/>
  <c r="T32" i="74"/>
  <c r="R32" i="74"/>
  <c r="P32" i="74"/>
  <c r="N32" i="74"/>
  <c r="L32" i="74"/>
  <c r="J32" i="74"/>
  <c r="H32" i="74"/>
  <c r="G32" i="74"/>
  <c r="F32" i="74"/>
  <c r="E32" i="74"/>
  <c r="AK31" i="74"/>
  <c r="AI31" i="74"/>
  <c r="AG31" i="74"/>
  <c r="AE31" i="74"/>
  <c r="AC31" i="74"/>
  <c r="AA31" i="74"/>
  <c r="Y31" i="74"/>
  <c r="X31" i="74"/>
  <c r="W31" i="74"/>
  <c r="V31" i="74"/>
  <c r="T31" i="74"/>
  <c r="R31" i="74"/>
  <c r="P31" i="74"/>
  <c r="N31" i="74"/>
  <c r="L31" i="74"/>
  <c r="J31" i="74"/>
  <c r="H31" i="74"/>
  <c r="G31" i="74"/>
  <c r="F31" i="74"/>
  <c r="E31" i="74"/>
  <c r="AK30" i="74"/>
  <c r="AI30" i="74"/>
  <c r="AG30" i="74"/>
  <c r="AE30" i="74"/>
  <c r="AC30" i="74"/>
  <c r="AA30" i="74"/>
  <c r="Y30" i="74"/>
  <c r="X30" i="74"/>
  <c r="W30" i="74"/>
  <c r="V30" i="74"/>
  <c r="T30" i="74"/>
  <c r="R30" i="74"/>
  <c r="P30" i="74"/>
  <c r="N30" i="74"/>
  <c r="L30" i="74"/>
  <c r="J30" i="74"/>
  <c r="H30" i="74"/>
  <c r="G30" i="74"/>
  <c r="F30" i="74"/>
  <c r="E30" i="74"/>
  <c r="AK29" i="74"/>
  <c r="AI29" i="74"/>
  <c r="AG29" i="74"/>
  <c r="AE29" i="74"/>
  <c r="AC29" i="74"/>
  <c r="AA29" i="74"/>
  <c r="Y29" i="74"/>
  <c r="X29" i="74"/>
  <c r="W29" i="74"/>
  <c r="V29" i="74"/>
  <c r="T29" i="74"/>
  <c r="R29" i="74"/>
  <c r="P29" i="74"/>
  <c r="N29" i="74"/>
  <c r="L29" i="74"/>
  <c r="J29" i="74"/>
  <c r="H29" i="74"/>
  <c r="G29" i="74"/>
  <c r="F29" i="74"/>
  <c r="E29" i="74"/>
  <c r="AK28" i="74"/>
  <c r="AI28" i="74"/>
  <c r="AG28" i="74"/>
  <c r="AE28" i="74"/>
  <c r="AC28" i="74"/>
  <c r="AA28" i="74"/>
  <c r="Y28" i="74"/>
  <c r="X28" i="74"/>
  <c r="W28" i="74"/>
  <c r="V28" i="74"/>
  <c r="T28" i="74"/>
  <c r="R28" i="74"/>
  <c r="P28" i="74"/>
  <c r="N28" i="74"/>
  <c r="L28" i="74"/>
  <c r="J28" i="74"/>
  <c r="H28" i="74"/>
  <c r="G28" i="74"/>
  <c r="F28" i="74"/>
  <c r="E28" i="74"/>
  <c r="AK27" i="74"/>
  <c r="AI27" i="74"/>
  <c r="AG27" i="74"/>
  <c r="AE27" i="74"/>
  <c r="AC27" i="74"/>
  <c r="AA27" i="74"/>
  <c r="Y27" i="74"/>
  <c r="X27" i="74"/>
  <c r="W27" i="74"/>
  <c r="V27" i="74"/>
  <c r="T27" i="74"/>
  <c r="R27" i="74"/>
  <c r="P27" i="74"/>
  <c r="N27" i="74"/>
  <c r="L27" i="74"/>
  <c r="J27" i="74"/>
  <c r="H27" i="74"/>
  <c r="G27" i="74"/>
  <c r="F27" i="74"/>
  <c r="E27" i="74"/>
  <c r="AK26" i="74"/>
  <c r="AI26" i="74"/>
  <c r="AG26" i="74"/>
  <c r="AE26" i="74"/>
  <c r="AC26" i="74"/>
  <c r="AA26" i="74"/>
  <c r="Y26" i="74"/>
  <c r="X26" i="74"/>
  <c r="W26" i="74"/>
  <c r="V26" i="74"/>
  <c r="T26" i="74"/>
  <c r="R26" i="74"/>
  <c r="P26" i="74"/>
  <c r="N26" i="74"/>
  <c r="L26" i="74"/>
  <c r="J26" i="74"/>
  <c r="H26" i="74"/>
  <c r="G26" i="74"/>
  <c r="F26" i="74"/>
  <c r="E26" i="74"/>
  <c r="AK25" i="74"/>
  <c r="AI25" i="74"/>
  <c r="AG25" i="74"/>
  <c r="AE25" i="74"/>
  <c r="AC25" i="74"/>
  <c r="AA25" i="74"/>
  <c r="Y25" i="74"/>
  <c r="X25" i="74"/>
  <c r="W25" i="74"/>
  <c r="V25" i="74"/>
  <c r="T25" i="74"/>
  <c r="R25" i="74"/>
  <c r="P25" i="74"/>
  <c r="N25" i="74"/>
  <c r="L25" i="74"/>
  <c r="J25" i="74"/>
  <c r="H25" i="74"/>
  <c r="G25" i="74"/>
  <c r="F25" i="74"/>
  <c r="E25" i="74"/>
  <c r="AK24" i="74"/>
  <c r="AI24" i="74"/>
  <c r="AG24" i="74"/>
  <c r="AE24" i="74"/>
  <c r="AC24" i="74"/>
  <c r="AA24" i="74"/>
  <c r="Y24" i="74"/>
  <c r="X24" i="74"/>
  <c r="W24" i="74"/>
  <c r="V24" i="74"/>
  <c r="T24" i="74"/>
  <c r="R24" i="74"/>
  <c r="P24" i="74"/>
  <c r="N24" i="74"/>
  <c r="L24" i="74"/>
  <c r="J24" i="74"/>
  <c r="H24" i="74"/>
  <c r="G24" i="74"/>
  <c r="F24" i="74"/>
  <c r="E24" i="74"/>
  <c r="AK23" i="74"/>
  <c r="AI23" i="74"/>
  <c r="AG23" i="74"/>
  <c r="AE23" i="74"/>
  <c r="AC23" i="74"/>
  <c r="AA23" i="74"/>
  <c r="Y23" i="74"/>
  <c r="X23" i="74"/>
  <c r="W23" i="74"/>
  <c r="V23" i="74"/>
  <c r="T23" i="74"/>
  <c r="R23" i="74"/>
  <c r="P23" i="74"/>
  <c r="N23" i="74"/>
  <c r="L23" i="74"/>
  <c r="J23" i="74"/>
  <c r="H23" i="74"/>
  <c r="G23" i="74"/>
  <c r="F23" i="74"/>
  <c r="E23" i="74"/>
  <c r="AK22" i="74"/>
  <c r="AI22" i="74"/>
  <c r="AG22" i="74"/>
  <c r="AE22" i="74"/>
  <c r="AC22" i="74"/>
  <c r="AA22" i="74"/>
  <c r="Y22" i="74"/>
  <c r="X22" i="74"/>
  <c r="X33" i="74" s="1"/>
  <c r="W22" i="74"/>
  <c r="V22" i="74"/>
  <c r="V33" i="74" s="1"/>
  <c r="W33" i="74" s="1"/>
  <c r="T22" i="74"/>
  <c r="R22" i="74"/>
  <c r="P22" i="74"/>
  <c r="N22" i="74"/>
  <c r="L22" i="74"/>
  <c r="J22" i="74"/>
  <c r="H22" i="74"/>
  <c r="G22" i="74"/>
  <c r="F22" i="74"/>
  <c r="E22" i="74"/>
  <c r="AJ20" i="74"/>
  <c r="AH20" i="74"/>
  <c r="AF20" i="74"/>
  <c r="AD20" i="74"/>
  <c r="AB20" i="74"/>
  <c r="Z20" i="74"/>
  <c r="U20" i="74"/>
  <c r="AK20" i="74" s="1"/>
  <c r="S20" i="74"/>
  <c r="T20" i="74" s="1"/>
  <c r="Q20" i="74"/>
  <c r="R20" i="74" s="1"/>
  <c r="O20" i="74"/>
  <c r="P20" i="74" s="1"/>
  <c r="M20" i="74"/>
  <c r="N20" i="74" s="1"/>
  <c r="K20" i="74"/>
  <c r="L20" i="74" s="1"/>
  <c r="I20" i="74"/>
  <c r="J20" i="74" s="1"/>
  <c r="G20" i="74"/>
  <c r="H20" i="74" s="1"/>
  <c r="E20" i="74"/>
  <c r="F20" i="74" s="1"/>
  <c r="D20" i="74"/>
  <c r="AK19" i="74"/>
  <c r="AI19" i="74"/>
  <c r="AG19" i="74"/>
  <c r="AE19" i="74"/>
  <c r="AC19" i="74"/>
  <c r="AA19" i="74"/>
  <c r="Y19" i="74"/>
  <c r="X19" i="74"/>
  <c r="W19" i="74"/>
  <c r="V19" i="74"/>
  <c r="T19" i="74"/>
  <c r="R19" i="74"/>
  <c r="P19" i="74"/>
  <c r="N19" i="74"/>
  <c r="L19" i="74"/>
  <c r="J19" i="74"/>
  <c r="H19" i="74"/>
  <c r="G19" i="74"/>
  <c r="F19" i="74"/>
  <c r="E19" i="74"/>
  <c r="AK18" i="74"/>
  <c r="AI18" i="74"/>
  <c r="AG18" i="74"/>
  <c r="AE18" i="74"/>
  <c r="AC18" i="74"/>
  <c r="AA18" i="74"/>
  <c r="Y18" i="74"/>
  <c r="X18" i="74"/>
  <c r="W18" i="74"/>
  <c r="V18" i="74"/>
  <c r="T18" i="74"/>
  <c r="R18" i="74"/>
  <c r="P18" i="74"/>
  <c r="N18" i="74"/>
  <c r="L18" i="74"/>
  <c r="J18" i="74"/>
  <c r="H18" i="74"/>
  <c r="G18" i="74"/>
  <c r="F18" i="74"/>
  <c r="E18" i="74"/>
  <c r="AK17" i="74"/>
  <c r="AI17" i="74"/>
  <c r="AG17" i="74"/>
  <c r="AE17" i="74"/>
  <c r="AC17" i="74"/>
  <c r="AA17" i="74"/>
  <c r="Y17" i="74"/>
  <c r="X17" i="74"/>
  <c r="X20" i="74" s="1"/>
  <c r="W17" i="74"/>
  <c r="V17" i="74"/>
  <c r="V20" i="74" s="1"/>
  <c r="W20" i="74" s="1"/>
  <c r="T17" i="74"/>
  <c r="R17" i="74"/>
  <c r="P17" i="74"/>
  <c r="N17" i="74"/>
  <c r="L17" i="74"/>
  <c r="J17" i="74"/>
  <c r="H17" i="74"/>
  <c r="G17" i="74"/>
  <c r="F17" i="74"/>
  <c r="E17" i="74"/>
  <c r="AJ15" i="74"/>
  <c r="AJ89" i="74" s="1"/>
  <c r="AH15" i="74"/>
  <c r="AF15" i="74"/>
  <c r="AF89" i="74" s="1"/>
  <c r="AD15" i="74"/>
  <c r="AB15" i="74"/>
  <c r="AB89" i="74" s="1"/>
  <c r="Z15" i="74"/>
  <c r="U15" i="74"/>
  <c r="U89" i="74" s="1"/>
  <c r="S15" i="74"/>
  <c r="Q15" i="74"/>
  <c r="O15" i="74"/>
  <c r="M15" i="74"/>
  <c r="K15" i="74"/>
  <c r="I15" i="74"/>
  <c r="D15" i="74"/>
  <c r="D89" i="74" s="1"/>
  <c r="AK14" i="74"/>
  <c r="AI14" i="74"/>
  <c r="AG14" i="74"/>
  <c r="AE14" i="74"/>
  <c r="AC14" i="74"/>
  <c r="AA14" i="74"/>
  <c r="Y14" i="74"/>
  <c r="X14" i="74"/>
  <c r="W14" i="74"/>
  <c r="V14" i="74"/>
  <c r="T14" i="74"/>
  <c r="R14" i="74"/>
  <c r="P14" i="74"/>
  <c r="N14" i="74"/>
  <c r="L14" i="74"/>
  <c r="J14" i="74"/>
  <c r="H14" i="74"/>
  <c r="G14" i="74"/>
  <c r="E14" i="74"/>
  <c r="AK13" i="74"/>
  <c r="AI13" i="74"/>
  <c r="AG13" i="74"/>
  <c r="AE13" i="74"/>
  <c r="AC13" i="74"/>
  <c r="AA13" i="74"/>
  <c r="X13" i="74"/>
  <c r="Y13" i="74" s="1"/>
  <c r="V13" i="74"/>
  <c r="W13" i="74" s="1"/>
  <c r="T13" i="74"/>
  <c r="R13" i="74"/>
  <c r="P13" i="74"/>
  <c r="N13" i="74"/>
  <c r="L13" i="74"/>
  <c r="J13" i="74"/>
  <c r="G13" i="74"/>
  <c r="H13" i="74" s="1"/>
  <c r="E13" i="74"/>
  <c r="F13" i="74" s="1"/>
  <c r="AK12" i="74"/>
  <c r="AI12" i="74"/>
  <c r="AG12" i="74"/>
  <c r="AE12" i="74"/>
  <c r="AC12" i="74"/>
  <c r="AA12" i="74"/>
  <c r="X12" i="74"/>
  <c r="Y12" i="74" s="1"/>
  <c r="V12" i="74"/>
  <c r="W12" i="74" s="1"/>
  <c r="T12" i="74"/>
  <c r="R12" i="74"/>
  <c r="P12" i="74"/>
  <c r="N12" i="74"/>
  <c r="L12" i="74"/>
  <c r="J12" i="74"/>
  <c r="G12" i="74"/>
  <c r="H12" i="74" s="1"/>
  <c r="E12" i="74"/>
  <c r="F12" i="74" s="1"/>
  <c r="AK11" i="74"/>
  <c r="AI11" i="74"/>
  <c r="AG11" i="74"/>
  <c r="AE11" i="74"/>
  <c r="AC11" i="74"/>
  <c r="AA11" i="74"/>
  <c r="X11" i="74"/>
  <c r="Y11" i="74" s="1"/>
  <c r="V11" i="74"/>
  <c r="W11" i="74" s="1"/>
  <c r="T11" i="74"/>
  <c r="R11" i="74"/>
  <c r="P11" i="74"/>
  <c r="N11" i="74"/>
  <c r="L11" i="74"/>
  <c r="J11" i="74"/>
  <c r="G11" i="74"/>
  <c r="H11" i="74" s="1"/>
  <c r="E11" i="74"/>
  <c r="F11" i="74" s="1"/>
  <c r="AK10" i="74"/>
  <c r="AI10" i="74"/>
  <c r="AG10" i="74"/>
  <c r="AE10" i="74"/>
  <c r="AC10" i="74"/>
  <c r="AA10" i="74"/>
  <c r="X10" i="74"/>
  <c r="Y10" i="74" s="1"/>
  <c r="V10" i="74"/>
  <c r="W10" i="74" s="1"/>
  <c r="T10" i="74"/>
  <c r="R10" i="74"/>
  <c r="P10" i="74"/>
  <c r="N10" i="74"/>
  <c r="L10" i="74"/>
  <c r="J10" i="74"/>
  <c r="G10" i="74"/>
  <c r="H10" i="74" s="1"/>
  <c r="E10" i="74"/>
  <c r="F10" i="74" s="1"/>
  <c r="AK9" i="74"/>
  <c r="AI9" i="74"/>
  <c r="AG9" i="74"/>
  <c r="AE9" i="74"/>
  <c r="AC9" i="74"/>
  <c r="AA9" i="74"/>
  <c r="X9" i="74"/>
  <c r="Y9" i="74" s="1"/>
  <c r="V9" i="74"/>
  <c r="W9" i="74" s="1"/>
  <c r="T9" i="74"/>
  <c r="R9" i="74"/>
  <c r="P9" i="74"/>
  <c r="N9" i="74"/>
  <c r="L9" i="74"/>
  <c r="J9" i="74"/>
  <c r="G9" i="74"/>
  <c r="H9" i="74" s="1"/>
  <c r="E9" i="74"/>
  <c r="F9" i="74" s="1"/>
  <c r="AK8" i="74"/>
  <c r="AI8" i="74"/>
  <c r="AG8" i="74"/>
  <c r="AE8" i="74"/>
  <c r="AC8" i="74"/>
  <c r="AA8" i="74"/>
  <c r="X8" i="74"/>
  <c r="V8" i="74"/>
  <c r="T8" i="74"/>
  <c r="R8" i="74"/>
  <c r="P8" i="74"/>
  <c r="N8" i="74"/>
  <c r="L8" i="74"/>
  <c r="J8" i="74"/>
  <c r="G8" i="74"/>
  <c r="H8" i="74" s="1"/>
  <c r="E8" i="74"/>
  <c r="F8" i="74" s="1"/>
  <c r="V15" i="74" l="1"/>
  <c r="W8" i="74"/>
  <c r="E15" i="74"/>
  <c r="I89" i="74"/>
  <c r="J89" i="74" s="1"/>
  <c r="J15" i="74"/>
  <c r="M89" i="74"/>
  <c r="N89" i="74" s="1"/>
  <c r="N15" i="74"/>
  <c r="Q89" i="74"/>
  <c r="R89" i="74" s="1"/>
  <c r="R15" i="74"/>
  <c r="AA15" i="74"/>
  <c r="AC15" i="74"/>
  <c r="AE15" i="74"/>
  <c r="AG15" i="74"/>
  <c r="AI15" i="74"/>
  <c r="AK15" i="74"/>
  <c r="Y20" i="74"/>
  <c r="AA20" i="74"/>
  <c r="AC20" i="74"/>
  <c r="AE20" i="74"/>
  <c r="AG20" i="74"/>
  <c r="AI20" i="74"/>
  <c r="Y33" i="74"/>
  <c r="AA33" i="74"/>
  <c r="AC33" i="74"/>
  <c r="AE33" i="74"/>
  <c r="AG33" i="74"/>
  <c r="AI33" i="74"/>
  <c r="Y43" i="74"/>
  <c r="AA43" i="74"/>
  <c r="AC43" i="74"/>
  <c r="AE43" i="74"/>
  <c r="AG43" i="74"/>
  <c r="AI43" i="74"/>
  <c r="AK51" i="74"/>
  <c r="AI51" i="74"/>
  <c r="AG51" i="74"/>
  <c r="AE51" i="74"/>
  <c r="AC51" i="74"/>
  <c r="Y51" i="74"/>
  <c r="AA51" i="74"/>
  <c r="X15" i="74"/>
  <c r="Y8" i="74"/>
  <c r="G15" i="74"/>
  <c r="K89" i="74"/>
  <c r="L89" i="74" s="1"/>
  <c r="L15" i="74"/>
  <c r="O89" i="74"/>
  <c r="P89" i="74" s="1"/>
  <c r="P15" i="74"/>
  <c r="S89" i="74"/>
  <c r="T89" i="74" s="1"/>
  <c r="T15" i="74"/>
  <c r="AC89" i="74"/>
  <c r="AG89" i="74"/>
  <c r="AK89" i="74"/>
  <c r="AA54" i="74"/>
  <c r="AC54" i="74"/>
  <c r="AE54" i="74"/>
  <c r="AG54" i="74"/>
  <c r="AI54" i="74"/>
  <c r="AA63" i="74"/>
  <c r="AC63" i="74"/>
  <c r="AE63" i="74"/>
  <c r="AG63" i="74"/>
  <c r="AI63" i="74"/>
  <c r="AA69" i="74"/>
  <c r="AC69" i="74"/>
  <c r="AE69" i="74"/>
  <c r="AG69" i="74"/>
  <c r="AI69" i="74"/>
  <c r="X80" i="74"/>
  <c r="Y80" i="74" s="1"/>
  <c r="G87" i="74"/>
  <c r="H87" i="74" s="1"/>
  <c r="H82" i="74"/>
  <c r="X87" i="74"/>
  <c r="Y87" i="74" s="1"/>
  <c r="AA89" i="74"/>
  <c r="AE89" i="74"/>
  <c r="AI89" i="74"/>
  <c r="G80" i="74"/>
  <c r="H80" i="74" s="1"/>
  <c r="J80" i="74"/>
  <c r="L80" i="74"/>
  <c r="N80" i="74"/>
  <c r="P80" i="74"/>
  <c r="R80" i="74"/>
  <c r="E87" i="74"/>
  <c r="F87" i="74" s="1"/>
  <c r="F82" i="74"/>
  <c r="J87" i="74"/>
  <c r="L87" i="74"/>
  <c r="N87" i="74"/>
  <c r="P87" i="74"/>
  <c r="R87" i="74"/>
  <c r="V87" i="74"/>
  <c r="W87" i="74" s="1"/>
  <c r="G89" i="74" l="1"/>
  <c r="H89" i="74" s="1"/>
  <c r="H15" i="74"/>
  <c r="X89" i="74"/>
  <c r="Y89" i="74" s="1"/>
  <c r="Y15" i="74"/>
  <c r="E89" i="74"/>
  <c r="F89" i="74" s="1"/>
  <c r="F15" i="74"/>
  <c r="V89" i="74"/>
  <c r="W89" i="74" s="1"/>
  <c r="W15" i="74"/>
  <c r="AC86" i="73" l="1"/>
  <c r="AA86" i="73"/>
  <c r="Y86" i="73"/>
  <c r="W86" i="73"/>
  <c r="U86" i="73"/>
  <c r="S86" i="73"/>
  <c r="Q86" i="73"/>
  <c r="O86" i="73"/>
  <c r="M86" i="73"/>
  <c r="K86" i="73"/>
  <c r="G86" i="73"/>
  <c r="F86" i="73"/>
  <c r="E86" i="73"/>
  <c r="D86" i="73"/>
  <c r="J85" i="73"/>
  <c r="I85" i="73"/>
  <c r="H85" i="73"/>
  <c r="J84" i="73"/>
  <c r="H84" i="73"/>
  <c r="I84" i="73" s="1"/>
  <c r="X83" i="73"/>
  <c r="P83" i="73"/>
  <c r="J83" i="73"/>
  <c r="I83" i="73"/>
  <c r="H83" i="73"/>
  <c r="Z82" i="73"/>
  <c r="R82" i="73"/>
  <c r="J82" i="73"/>
  <c r="J86" i="73" s="1"/>
  <c r="H82" i="73"/>
  <c r="I82" i="73" s="1"/>
  <c r="J81" i="73"/>
  <c r="I81" i="73"/>
  <c r="H81" i="73"/>
  <c r="AC79" i="73"/>
  <c r="AA79" i="73"/>
  <c r="Y79" i="73"/>
  <c r="W79" i="73"/>
  <c r="U79" i="73"/>
  <c r="S79" i="73"/>
  <c r="Q79" i="73"/>
  <c r="O79" i="73"/>
  <c r="M79" i="73"/>
  <c r="K79" i="73"/>
  <c r="G79" i="73"/>
  <c r="F79" i="73"/>
  <c r="E79" i="73"/>
  <c r="D79" i="73"/>
  <c r="T78" i="73"/>
  <c r="J78" i="73"/>
  <c r="I78" i="73"/>
  <c r="H78" i="73"/>
  <c r="V77" i="73"/>
  <c r="J77" i="73"/>
  <c r="H77" i="73"/>
  <c r="I77" i="73" s="1"/>
  <c r="X76" i="73"/>
  <c r="P76" i="73"/>
  <c r="J76" i="73"/>
  <c r="I76" i="73"/>
  <c r="H76" i="73"/>
  <c r="Z75" i="73"/>
  <c r="R75" i="73"/>
  <c r="J75" i="73"/>
  <c r="H75" i="73"/>
  <c r="I75" i="73" s="1"/>
  <c r="T74" i="73"/>
  <c r="J74" i="73"/>
  <c r="I74" i="73"/>
  <c r="H74" i="73"/>
  <c r="V73" i="73"/>
  <c r="J73" i="73"/>
  <c r="H73" i="73"/>
  <c r="I73" i="73" s="1"/>
  <c r="X72" i="73"/>
  <c r="P72" i="73"/>
  <c r="J72" i="73"/>
  <c r="I72" i="73"/>
  <c r="H72" i="73"/>
  <c r="R71" i="73"/>
  <c r="J71" i="73"/>
  <c r="I71" i="73"/>
  <c r="H71" i="73"/>
  <c r="J70" i="73"/>
  <c r="J79" i="73" s="1"/>
  <c r="H70" i="73"/>
  <c r="AC68" i="73"/>
  <c r="AA68" i="73"/>
  <c r="Y68" i="73"/>
  <c r="W68" i="73"/>
  <c r="U68" i="73"/>
  <c r="S68" i="73"/>
  <c r="Q68" i="73"/>
  <c r="O68" i="73"/>
  <c r="M68" i="73"/>
  <c r="K68" i="73"/>
  <c r="G68" i="73"/>
  <c r="F68" i="73"/>
  <c r="E68" i="73"/>
  <c r="D68" i="73"/>
  <c r="Z67" i="73"/>
  <c r="R67" i="73"/>
  <c r="J67" i="73"/>
  <c r="H67" i="73"/>
  <c r="I67" i="73" s="1"/>
  <c r="J66" i="73"/>
  <c r="I66" i="73"/>
  <c r="H66" i="73"/>
  <c r="J65" i="73"/>
  <c r="H65" i="73"/>
  <c r="I65" i="73" s="1"/>
  <c r="X64" i="73"/>
  <c r="P64" i="73"/>
  <c r="J64" i="73"/>
  <c r="J68" i="73" s="1"/>
  <c r="I64" i="73"/>
  <c r="H64" i="73"/>
  <c r="H68" i="73" s="1"/>
  <c r="AC62" i="73"/>
  <c r="AA62" i="73"/>
  <c r="Y62" i="73"/>
  <c r="W62" i="73"/>
  <c r="U62" i="73"/>
  <c r="S62" i="73"/>
  <c r="Q62" i="73"/>
  <c r="O62" i="73"/>
  <c r="M62" i="73"/>
  <c r="K62" i="73"/>
  <c r="G62" i="73"/>
  <c r="F62" i="73"/>
  <c r="E62" i="73"/>
  <c r="D62" i="73"/>
  <c r="X61" i="73"/>
  <c r="P61" i="73"/>
  <c r="J61" i="73"/>
  <c r="I61" i="73"/>
  <c r="H61" i="73"/>
  <c r="Z60" i="73"/>
  <c r="R60" i="73"/>
  <c r="J60" i="73"/>
  <c r="H60" i="73"/>
  <c r="I60" i="73" s="1"/>
  <c r="J59" i="73"/>
  <c r="I59" i="73"/>
  <c r="H59" i="73"/>
  <c r="J58" i="73"/>
  <c r="H58" i="73"/>
  <c r="X57" i="73"/>
  <c r="P57" i="73"/>
  <c r="J57" i="73"/>
  <c r="I57" i="73"/>
  <c r="H57" i="73"/>
  <c r="Z56" i="73"/>
  <c r="R56" i="73"/>
  <c r="J56" i="73"/>
  <c r="J62" i="73" s="1"/>
  <c r="H56" i="73"/>
  <c r="I56" i="73" s="1"/>
  <c r="J55" i="73"/>
  <c r="I55" i="73"/>
  <c r="H55" i="73"/>
  <c r="AC53" i="73"/>
  <c r="AA53" i="73"/>
  <c r="Y53" i="73"/>
  <c r="W53" i="73"/>
  <c r="U53" i="73"/>
  <c r="S53" i="73"/>
  <c r="Q53" i="73"/>
  <c r="O53" i="73"/>
  <c r="M53" i="73"/>
  <c r="K53" i="73"/>
  <c r="J53" i="73"/>
  <c r="H53" i="73"/>
  <c r="G53" i="73"/>
  <c r="F53" i="73"/>
  <c r="E53" i="73"/>
  <c r="D53" i="73"/>
  <c r="J52" i="73"/>
  <c r="I52" i="73"/>
  <c r="H52" i="73"/>
  <c r="AC50" i="73"/>
  <c r="AA50" i="73"/>
  <c r="Y50" i="73"/>
  <c r="W50" i="73"/>
  <c r="U50" i="73"/>
  <c r="S50" i="73"/>
  <c r="Q50" i="73"/>
  <c r="O50" i="73"/>
  <c r="M50" i="73"/>
  <c r="K50" i="73"/>
  <c r="J50" i="73"/>
  <c r="G50" i="73"/>
  <c r="F50" i="73"/>
  <c r="E50" i="73"/>
  <c r="D50" i="73"/>
  <c r="T49" i="73"/>
  <c r="J49" i="73"/>
  <c r="I49" i="73"/>
  <c r="H49" i="73"/>
  <c r="V48" i="73"/>
  <c r="J48" i="73"/>
  <c r="H48" i="73"/>
  <c r="I48" i="73" s="1"/>
  <c r="X47" i="73"/>
  <c r="P47" i="73"/>
  <c r="J47" i="73"/>
  <c r="I47" i="73"/>
  <c r="H47" i="73"/>
  <c r="Z46" i="73"/>
  <c r="R46" i="73"/>
  <c r="J46" i="73"/>
  <c r="H46" i="73"/>
  <c r="I46" i="73" s="1"/>
  <c r="T45" i="73"/>
  <c r="J45" i="73"/>
  <c r="I45" i="73"/>
  <c r="H45" i="73"/>
  <c r="J44" i="73"/>
  <c r="H44" i="73"/>
  <c r="AC42" i="73"/>
  <c r="AA42" i="73"/>
  <c r="Y42" i="73"/>
  <c r="W42" i="73"/>
  <c r="U42" i="73"/>
  <c r="S42" i="73"/>
  <c r="Q42" i="73"/>
  <c r="O42" i="73"/>
  <c r="M42" i="73"/>
  <c r="K42" i="73"/>
  <c r="G42" i="73"/>
  <c r="F42" i="73"/>
  <c r="E42" i="73"/>
  <c r="D42" i="73"/>
  <c r="X41" i="73"/>
  <c r="P41" i="73"/>
  <c r="J41" i="73"/>
  <c r="I41" i="73"/>
  <c r="H41" i="73"/>
  <c r="Z40" i="73"/>
  <c r="R40" i="73"/>
  <c r="J40" i="73"/>
  <c r="H40" i="73"/>
  <c r="I40" i="73" s="1"/>
  <c r="J39" i="73"/>
  <c r="I39" i="73"/>
  <c r="H39" i="73"/>
  <c r="J38" i="73"/>
  <c r="H38" i="73"/>
  <c r="I38" i="73" s="1"/>
  <c r="X37" i="73"/>
  <c r="P37" i="73"/>
  <c r="J37" i="73"/>
  <c r="I37" i="73"/>
  <c r="H37" i="73"/>
  <c r="Z36" i="73"/>
  <c r="R36" i="73"/>
  <c r="J36" i="73"/>
  <c r="H36" i="73"/>
  <c r="I36" i="73" s="1"/>
  <c r="J35" i="73"/>
  <c r="I35" i="73"/>
  <c r="H35" i="73"/>
  <c r="J34" i="73"/>
  <c r="J42" i="73" s="1"/>
  <c r="H34" i="73"/>
  <c r="I34" i="73" s="1"/>
  <c r="AC32" i="73"/>
  <c r="AA32" i="73"/>
  <c r="Y32" i="73"/>
  <c r="W32" i="73"/>
  <c r="U32" i="73"/>
  <c r="S32" i="73"/>
  <c r="Q32" i="73"/>
  <c r="O32" i="73"/>
  <c r="M32" i="73"/>
  <c r="K32" i="73"/>
  <c r="G32" i="73"/>
  <c r="F32" i="73"/>
  <c r="E32" i="73"/>
  <c r="D32" i="73"/>
  <c r="J31" i="73"/>
  <c r="H31" i="73"/>
  <c r="I31" i="73" s="1"/>
  <c r="X30" i="73"/>
  <c r="P30" i="73"/>
  <c r="J30" i="73"/>
  <c r="I30" i="73"/>
  <c r="H30" i="73"/>
  <c r="Z29" i="73"/>
  <c r="R29" i="73"/>
  <c r="J29" i="73"/>
  <c r="H29" i="73"/>
  <c r="I29" i="73" s="1"/>
  <c r="J28" i="73"/>
  <c r="I28" i="73"/>
  <c r="H28" i="73"/>
  <c r="J27" i="73"/>
  <c r="H27" i="73"/>
  <c r="I27" i="73" s="1"/>
  <c r="X26" i="73"/>
  <c r="P26" i="73"/>
  <c r="J26" i="73"/>
  <c r="I26" i="73"/>
  <c r="H26" i="73"/>
  <c r="Z25" i="73"/>
  <c r="R25" i="73"/>
  <c r="J25" i="73"/>
  <c r="H25" i="73"/>
  <c r="I25" i="73" s="1"/>
  <c r="J24" i="73"/>
  <c r="I24" i="73"/>
  <c r="H24" i="73"/>
  <c r="J23" i="73"/>
  <c r="H23" i="73"/>
  <c r="I23" i="73" s="1"/>
  <c r="X22" i="73"/>
  <c r="P22" i="73"/>
  <c r="J22" i="73"/>
  <c r="I22" i="73"/>
  <c r="H22" i="73"/>
  <c r="J21" i="73"/>
  <c r="J32" i="73" s="1"/>
  <c r="H21" i="73"/>
  <c r="AC19" i="73"/>
  <c r="AA19" i="73"/>
  <c r="Y19" i="73"/>
  <c r="W19" i="73"/>
  <c r="U19" i="73"/>
  <c r="S19" i="73"/>
  <c r="Q19" i="73"/>
  <c r="O19" i="73"/>
  <c r="M19" i="73"/>
  <c r="K19" i="73"/>
  <c r="G19" i="73"/>
  <c r="F19" i="73"/>
  <c r="E19" i="73"/>
  <c r="D19" i="73"/>
  <c r="Z18" i="73"/>
  <c r="R18" i="73"/>
  <c r="J18" i="73"/>
  <c r="H18" i="73"/>
  <c r="I18" i="73" s="1"/>
  <c r="J17" i="73"/>
  <c r="I17" i="73"/>
  <c r="H17" i="73"/>
  <c r="J16" i="73"/>
  <c r="H16" i="73"/>
  <c r="AC14" i="73"/>
  <c r="AA14" i="73"/>
  <c r="Y14" i="73"/>
  <c r="W14" i="73"/>
  <c r="U14" i="73"/>
  <c r="S14" i="73"/>
  <c r="Q14" i="73"/>
  <c r="O14" i="73"/>
  <c r="M14" i="73"/>
  <c r="K14" i="73"/>
  <c r="G14" i="73"/>
  <c r="G88" i="73" s="1"/>
  <c r="F14" i="73"/>
  <c r="E14" i="73"/>
  <c r="E88" i="73" s="1"/>
  <c r="D14" i="73"/>
  <c r="J13" i="73"/>
  <c r="H13" i="73"/>
  <c r="I13" i="73" s="1"/>
  <c r="X12" i="73"/>
  <c r="P12" i="73"/>
  <c r="J12" i="73"/>
  <c r="I12" i="73"/>
  <c r="H12" i="73"/>
  <c r="Z11" i="73"/>
  <c r="R11" i="73"/>
  <c r="J11" i="73"/>
  <c r="H11" i="73"/>
  <c r="I11" i="73" s="1"/>
  <c r="J10" i="73"/>
  <c r="I10" i="73"/>
  <c r="H10" i="73"/>
  <c r="J9" i="73"/>
  <c r="H9" i="73"/>
  <c r="I9" i="73" s="1"/>
  <c r="X8" i="73"/>
  <c r="P8" i="73"/>
  <c r="J8" i="73"/>
  <c r="I8" i="73"/>
  <c r="H8" i="73"/>
  <c r="J7" i="73"/>
  <c r="J14" i="73" s="1"/>
  <c r="H7" i="73"/>
  <c r="AB9" i="73" l="1"/>
  <c r="X9" i="73"/>
  <c r="T9" i="73"/>
  <c r="P9" i="73"/>
  <c r="L9" i="73"/>
  <c r="N9" i="73"/>
  <c r="V9" i="73"/>
  <c r="AD9" i="73"/>
  <c r="AD10" i="73"/>
  <c r="Z10" i="73"/>
  <c r="V10" i="73"/>
  <c r="R10" i="73"/>
  <c r="N10" i="73"/>
  <c r="L10" i="73"/>
  <c r="T10" i="73"/>
  <c r="AB10" i="73"/>
  <c r="AB13" i="73"/>
  <c r="X13" i="73"/>
  <c r="T13" i="73"/>
  <c r="P13" i="73"/>
  <c r="L13" i="73"/>
  <c r="N13" i="73"/>
  <c r="V13" i="73"/>
  <c r="AD13" i="73"/>
  <c r="K88" i="73"/>
  <c r="O88" i="73"/>
  <c r="S88" i="73"/>
  <c r="W88" i="73"/>
  <c r="AA88" i="73"/>
  <c r="H19" i="73"/>
  <c r="I16" i="73"/>
  <c r="AD17" i="73"/>
  <c r="Z17" i="73"/>
  <c r="V17" i="73"/>
  <c r="R17" i="73"/>
  <c r="N17" i="73"/>
  <c r="L17" i="73"/>
  <c r="T17" i="73"/>
  <c r="AB17" i="73"/>
  <c r="AB23" i="73"/>
  <c r="X23" i="73"/>
  <c r="T23" i="73"/>
  <c r="P23" i="73"/>
  <c r="L23" i="73"/>
  <c r="N23" i="73"/>
  <c r="V23" i="73"/>
  <c r="AD23" i="73"/>
  <c r="AD24" i="73"/>
  <c r="Z24" i="73"/>
  <c r="V24" i="73"/>
  <c r="R24" i="73"/>
  <c r="N24" i="73"/>
  <c r="L24" i="73"/>
  <c r="T24" i="73"/>
  <c r="AB24" i="73"/>
  <c r="AB27" i="73"/>
  <c r="X27" i="73"/>
  <c r="T27" i="73"/>
  <c r="P27" i="73"/>
  <c r="L27" i="73"/>
  <c r="N27" i="73"/>
  <c r="V27" i="73"/>
  <c r="AD27" i="73"/>
  <c r="AD28" i="73"/>
  <c r="Z28" i="73"/>
  <c r="V28" i="73"/>
  <c r="R28" i="73"/>
  <c r="N28" i="73"/>
  <c r="L28" i="73"/>
  <c r="T28" i="73"/>
  <c r="AB28" i="73"/>
  <c r="AB31" i="73"/>
  <c r="X31" i="73"/>
  <c r="T31" i="73"/>
  <c r="P31" i="73"/>
  <c r="L31" i="73"/>
  <c r="N31" i="73"/>
  <c r="V31" i="73"/>
  <c r="AD31" i="73"/>
  <c r="I42" i="73"/>
  <c r="L42" i="73" s="1"/>
  <c r="AB34" i="73"/>
  <c r="X34" i="73"/>
  <c r="T34" i="73"/>
  <c r="P34" i="73"/>
  <c r="L34" i="73"/>
  <c r="N34" i="73"/>
  <c r="V34" i="73"/>
  <c r="AD34" i="73"/>
  <c r="AD35" i="73"/>
  <c r="Z35" i="73"/>
  <c r="V35" i="73"/>
  <c r="R35" i="73"/>
  <c r="N35" i="73"/>
  <c r="L35" i="73"/>
  <c r="T35" i="73"/>
  <c r="AB35" i="73"/>
  <c r="AB38" i="73"/>
  <c r="X38" i="73"/>
  <c r="T38" i="73"/>
  <c r="P38" i="73"/>
  <c r="L38" i="73"/>
  <c r="N38" i="73"/>
  <c r="V38" i="73"/>
  <c r="AD38" i="73"/>
  <c r="AD39" i="73"/>
  <c r="Z39" i="73"/>
  <c r="V39" i="73"/>
  <c r="R39" i="73"/>
  <c r="N39" i="73"/>
  <c r="L39" i="73"/>
  <c r="T39" i="73"/>
  <c r="AB39" i="73"/>
  <c r="H42" i="73"/>
  <c r="I53" i="73"/>
  <c r="AD52" i="73"/>
  <c r="Z52" i="73"/>
  <c r="V52" i="73"/>
  <c r="R52" i="73"/>
  <c r="N52" i="73"/>
  <c r="X52" i="73"/>
  <c r="P52" i="73"/>
  <c r="L52" i="73"/>
  <c r="AB52" i="73"/>
  <c r="AD55" i="73"/>
  <c r="Z55" i="73"/>
  <c r="V55" i="73"/>
  <c r="R55" i="73"/>
  <c r="N55" i="73"/>
  <c r="X55" i="73"/>
  <c r="P55" i="73"/>
  <c r="L55" i="73"/>
  <c r="AB55" i="73"/>
  <c r="I58" i="73"/>
  <c r="H62" i="73"/>
  <c r="H14" i="73"/>
  <c r="I7" i="73"/>
  <c r="AD8" i="73"/>
  <c r="Z8" i="73"/>
  <c r="V8" i="73"/>
  <c r="R8" i="73"/>
  <c r="N8" i="73"/>
  <c r="L8" i="73"/>
  <c r="T8" i="73"/>
  <c r="AB8" i="73"/>
  <c r="R9" i="73"/>
  <c r="Z9" i="73"/>
  <c r="P10" i="73"/>
  <c r="X10" i="73"/>
  <c r="AB11" i="73"/>
  <c r="X11" i="73"/>
  <c r="T11" i="73"/>
  <c r="P11" i="73"/>
  <c r="L11" i="73"/>
  <c r="N11" i="73"/>
  <c r="V11" i="73"/>
  <c r="AD11" i="73"/>
  <c r="AD12" i="73"/>
  <c r="Z12" i="73"/>
  <c r="V12" i="73"/>
  <c r="R12" i="73"/>
  <c r="N12" i="73"/>
  <c r="L12" i="73"/>
  <c r="T12" i="73"/>
  <c r="AB12" i="73"/>
  <c r="R13" i="73"/>
  <c r="Z13" i="73"/>
  <c r="M88" i="73"/>
  <c r="Q88" i="73"/>
  <c r="U88" i="73"/>
  <c r="Y88" i="73"/>
  <c r="AC88" i="73"/>
  <c r="J19" i="73"/>
  <c r="J88" i="73" s="1"/>
  <c r="P17" i="73"/>
  <c r="X17" i="73"/>
  <c r="AB18" i="73"/>
  <c r="X18" i="73"/>
  <c r="T18" i="73"/>
  <c r="P18" i="73"/>
  <c r="L18" i="73"/>
  <c r="N18" i="73"/>
  <c r="V18" i="73"/>
  <c r="AD18" i="73"/>
  <c r="H32" i="73"/>
  <c r="I21" i="73"/>
  <c r="AD22" i="73"/>
  <c r="Z22" i="73"/>
  <c r="V22" i="73"/>
  <c r="R22" i="73"/>
  <c r="N22" i="73"/>
  <c r="L22" i="73"/>
  <c r="T22" i="73"/>
  <c r="AB22" i="73"/>
  <c r="R23" i="73"/>
  <c r="Z23" i="73"/>
  <c r="P24" i="73"/>
  <c r="X24" i="73"/>
  <c r="AB25" i="73"/>
  <c r="X25" i="73"/>
  <c r="T25" i="73"/>
  <c r="P25" i="73"/>
  <c r="L25" i="73"/>
  <c r="N25" i="73"/>
  <c r="V25" i="73"/>
  <c r="AD25" i="73"/>
  <c r="AD26" i="73"/>
  <c r="Z26" i="73"/>
  <c r="V26" i="73"/>
  <c r="R26" i="73"/>
  <c r="N26" i="73"/>
  <c r="L26" i="73"/>
  <c r="T26" i="73"/>
  <c r="AB26" i="73"/>
  <c r="R27" i="73"/>
  <c r="Z27" i="73"/>
  <c r="P28" i="73"/>
  <c r="X28" i="73"/>
  <c r="AB29" i="73"/>
  <c r="X29" i="73"/>
  <c r="T29" i="73"/>
  <c r="P29" i="73"/>
  <c r="L29" i="73"/>
  <c r="N29" i="73"/>
  <c r="V29" i="73"/>
  <c r="AD29" i="73"/>
  <c r="AD30" i="73"/>
  <c r="Z30" i="73"/>
  <c r="V30" i="73"/>
  <c r="R30" i="73"/>
  <c r="N30" i="73"/>
  <c r="L30" i="73"/>
  <c r="T30" i="73"/>
  <c r="AB30" i="73"/>
  <c r="R31" i="73"/>
  <c r="Z31" i="73"/>
  <c r="R34" i="73"/>
  <c r="Z34" i="73"/>
  <c r="P35" i="73"/>
  <c r="X35" i="73"/>
  <c r="AB36" i="73"/>
  <c r="X36" i="73"/>
  <c r="T36" i="73"/>
  <c r="P36" i="73"/>
  <c r="L36" i="73"/>
  <c r="N36" i="73"/>
  <c r="V36" i="73"/>
  <c r="AD36" i="73"/>
  <c r="AD37" i="73"/>
  <c r="Z37" i="73"/>
  <c r="V37" i="73"/>
  <c r="R37" i="73"/>
  <c r="N37" i="73"/>
  <c r="L37" i="73"/>
  <c r="T37" i="73"/>
  <c r="AB37" i="73"/>
  <c r="R38" i="73"/>
  <c r="Z38" i="73"/>
  <c r="P39" i="73"/>
  <c r="X39" i="73"/>
  <c r="AB40" i="73"/>
  <c r="X40" i="73"/>
  <c r="T40" i="73"/>
  <c r="P40" i="73"/>
  <c r="L40" i="73"/>
  <c r="N40" i="73"/>
  <c r="V40" i="73"/>
  <c r="AD40" i="73"/>
  <c r="AD41" i="73"/>
  <c r="Z41" i="73"/>
  <c r="V41" i="73"/>
  <c r="R41" i="73"/>
  <c r="N41" i="73"/>
  <c r="L41" i="73"/>
  <c r="T41" i="73"/>
  <c r="AB41" i="73"/>
  <c r="T42" i="73"/>
  <c r="AB42" i="73"/>
  <c r="I44" i="73"/>
  <c r="H50" i="73"/>
  <c r="AD45" i="73"/>
  <c r="Z45" i="73"/>
  <c r="V45" i="73"/>
  <c r="R45" i="73"/>
  <c r="N45" i="73"/>
  <c r="X45" i="73"/>
  <c r="P45" i="73"/>
  <c r="L45" i="73"/>
  <c r="AB45" i="73"/>
  <c r="AB48" i="73"/>
  <c r="X48" i="73"/>
  <c r="T48" i="73"/>
  <c r="P48" i="73"/>
  <c r="L48" i="73"/>
  <c r="Z48" i="73"/>
  <c r="R48" i="73"/>
  <c r="N48" i="73"/>
  <c r="AD48" i="73"/>
  <c r="AD49" i="73"/>
  <c r="Z49" i="73"/>
  <c r="V49" i="73"/>
  <c r="R49" i="73"/>
  <c r="N49" i="73"/>
  <c r="X49" i="73"/>
  <c r="P49" i="73"/>
  <c r="L49" i="73"/>
  <c r="AB49" i="73"/>
  <c r="T52" i="73"/>
  <c r="T55" i="73"/>
  <c r="AD59" i="73"/>
  <c r="Z59" i="73"/>
  <c r="V59" i="73"/>
  <c r="R59" i="73"/>
  <c r="N59" i="73"/>
  <c r="L59" i="73"/>
  <c r="T59" i="73"/>
  <c r="AB59" i="73"/>
  <c r="AB65" i="73"/>
  <c r="X65" i="73"/>
  <c r="T65" i="73"/>
  <c r="P65" i="73"/>
  <c r="L65" i="73"/>
  <c r="N65" i="73"/>
  <c r="V65" i="73"/>
  <c r="AD65" i="73"/>
  <c r="AD66" i="73"/>
  <c r="Z66" i="73"/>
  <c r="V66" i="73"/>
  <c r="R66" i="73"/>
  <c r="N66" i="73"/>
  <c r="L66" i="73"/>
  <c r="T66" i="73"/>
  <c r="AB66" i="73"/>
  <c r="I68" i="73"/>
  <c r="N68" i="73" s="1"/>
  <c r="R68" i="73"/>
  <c r="Z68" i="73"/>
  <c r="I86" i="73"/>
  <c r="AD81" i="73"/>
  <c r="Z81" i="73"/>
  <c r="V81" i="73"/>
  <c r="R81" i="73"/>
  <c r="N81" i="73"/>
  <c r="X81" i="73"/>
  <c r="P81" i="73"/>
  <c r="L81" i="73"/>
  <c r="AB81" i="73"/>
  <c r="AB84" i="73"/>
  <c r="X84" i="73"/>
  <c r="T84" i="73"/>
  <c r="P84" i="73"/>
  <c r="L84" i="73"/>
  <c r="Z84" i="73"/>
  <c r="R84" i="73"/>
  <c r="N84" i="73"/>
  <c r="AD84" i="73"/>
  <c r="AD85" i="73"/>
  <c r="Z85" i="73"/>
  <c r="V85" i="73"/>
  <c r="R85" i="73"/>
  <c r="N85" i="73"/>
  <c r="X85" i="73"/>
  <c r="P85" i="73"/>
  <c r="L85" i="73"/>
  <c r="AB85" i="73"/>
  <c r="D88" i="73"/>
  <c r="F88" i="73"/>
  <c r="N42" i="73"/>
  <c r="V42" i="73"/>
  <c r="AD42" i="73"/>
  <c r="AB46" i="73"/>
  <c r="X46" i="73"/>
  <c r="T46" i="73"/>
  <c r="P46" i="73"/>
  <c r="L46" i="73"/>
  <c r="N46" i="73"/>
  <c r="V46" i="73"/>
  <c r="AD46" i="73"/>
  <c r="AD47" i="73"/>
  <c r="Z47" i="73"/>
  <c r="V47" i="73"/>
  <c r="R47" i="73"/>
  <c r="N47" i="73"/>
  <c r="L47" i="73"/>
  <c r="T47" i="73"/>
  <c r="AB47" i="73"/>
  <c r="AB56" i="73"/>
  <c r="X56" i="73"/>
  <c r="T56" i="73"/>
  <c r="P56" i="73"/>
  <c r="L56" i="73"/>
  <c r="N56" i="73"/>
  <c r="V56" i="73"/>
  <c r="AD56" i="73"/>
  <c r="AD57" i="73"/>
  <c r="Z57" i="73"/>
  <c r="V57" i="73"/>
  <c r="R57" i="73"/>
  <c r="N57" i="73"/>
  <c r="L57" i="73"/>
  <c r="T57" i="73"/>
  <c r="AB57" i="73"/>
  <c r="P59" i="73"/>
  <c r="X59" i="73"/>
  <c r="AB60" i="73"/>
  <c r="X60" i="73"/>
  <c r="T60" i="73"/>
  <c r="P60" i="73"/>
  <c r="L60" i="73"/>
  <c r="N60" i="73"/>
  <c r="V60" i="73"/>
  <c r="AD60" i="73"/>
  <c r="AD61" i="73"/>
  <c r="Z61" i="73"/>
  <c r="V61" i="73"/>
  <c r="R61" i="73"/>
  <c r="N61" i="73"/>
  <c r="L61" i="73"/>
  <c r="T61" i="73"/>
  <c r="AB61" i="73"/>
  <c r="AD64" i="73"/>
  <c r="Z64" i="73"/>
  <c r="V64" i="73"/>
  <c r="R64" i="73"/>
  <c r="N64" i="73"/>
  <c r="L64" i="73"/>
  <c r="T64" i="73"/>
  <c r="AB64" i="73"/>
  <c r="R65" i="73"/>
  <c r="Z65" i="73"/>
  <c r="P66" i="73"/>
  <c r="X66" i="73"/>
  <c r="AB67" i="73"/>
  <c r="X67" i="73"/>
  <c r="T67" i="73"/>
  <c r="P67" i="73"/>
  <c r="L67" i="73"/>
  <c r="N67" i="73"/>
  <c r="V67" i="73"/>
  <c r="AD67" i="73"/>
  <c r="P68" i="73"/>
  <c r="X68" i="73"/>
  <c r="H79" i="73"/>
  <c r="I70" i="73"/>
  <c r="AB71" i="73"/>
  <c r="X71" i="73"/>
  <c r="T71" i="73"/>
  <c r="P71" i="73"/>
  <c r="AD71" i="73"/>
  <c r="V71" i="73"/>
  <c r="N71" i="73"/>
  <c r="L71" i="73"/>
  <c r="Z71" i="73"/>
  <c r="AB73" i="73"/>
  <c r="X73" i="73"/>
  <c r="T73" i="73"/>
  <c r="P73" i="73"/>
  <c r="L73" i="73"/>
  <c r="Z73" i="73"/>
  <c r="R73" i="73"/>
  <c r="N73" i="73"/>
  <c r="AD73" i="73"/>
  <c r="AD74" i="73"/>
  <c r="Z74" i="73"/>
  <c r="V74" i="73"/>
  <c r="R74" i="73"/>
  <c r="N74" i="73"/>
  <c r="X74" i="73"/>
  <c r="P74" i="73"/>
  <c r="L74" i="73"/>
  <c r="AB74" i="73"/>
  <c r="AB77" i="73"/>
  <c r="X77" i="73"/>
  <c r="T77" i="73"/>
  <c r="P77" i="73"/>
  <c r="L77" i="73"/>
  <c r="Z77" i="73"/>
  <c r="R77" i="73"/>
  <c r="N77" i="73"/>
  <c r="AD77" i="73"/>
  <c r="AD78" i="73"/>
  <c r="Z78" i="73"/>
  <c r="V78" i="73"/>
  <c r="R78" i="73"/>
  <c r="N78" i="73"/>
  <c r="X78" i="73"/>
  <c r="P78" i="73"/>
  <c r="L78" i="73"/>
  <c r="AB78" i="73"/>
  <c r="T81" i="73"/>
  <c r="V84" i="73"/>
  <c r="T85" i="73"/>
  <c r="AD72" i="73"/>
  <c r="Z72" i="73"/>
  <c r="V72" i="73"/>
  <c r="R72" i="73"/>
  <c r="N72" i="73"/>
  <c r="L72" i="73"/>
  <c r="T72" i="73"/>
  <c r="AB72" i="73"/>
  <c r="AB75" i="73"/>
  <c r="X75" i="73"/>
  <c r="T75" i="73"/>
  <c r="P75" i="73"/>
  <c r="L75" i="73"/>
  <c r="N75" i="73"/>
  <c r="V75" i="73"/>
  <c r="AD75" i="73"/>
  <c r="AD76" i="73"/>
  <c r="Z76" i="73"/>
  <c r="V76" i="73"/>
  <c r="R76" i="73"/>
  <c r="N76" i="73"/>
  <c r="L76" i="73"/>
  <c r="T76" i="73"/>
  <c r="AB76" i="73"/>
  <c r="AB82" i="73"/>
  <c r="X82" i="73"/>
  <c r="T82" i="73"/>
  <c r="P82" i="73"/>
  <c r="L82" i="73"/>
  <c r="N82" i="73"/>
  <c r="V82" i="73"/>
  <c r="AD82" i="73"/>
  <c r="AD83" i="73"/>
  <c r="Z83" i="73"/>
  <c r="V83" i="73"/>
  <c r="R83" i="73"/>
  <c r="N83" i="73"/>
  <c r="L83" i="73"/>
  <c r="T83" i="73"/>
  <c r="AB83" i="73"/>
  <c r="H86" i="73"/>
  <c r="AD86" i="73" l="1"/>
  <c r="AB86" i="73"/>
  <c r="Z86" i="73"/>
  <c r="X86" i="73"/>
  <c r="V86" i="73"/>
  <c r="T86" i="73"/>
  <c r="R86" i="73"/>
  <c r="P86" i="73"/>
  <c r="N86" i="73"/>
  <c r="L86" i="73"/>
  <c r="H88" i="73"/>
  <c r="AB58" i="73"/>
  <c r="X58" i="73"/>
  <c r="T58" i="73"/>
  <c r="P58" i="73"/>
  <c r="L58" i="73"/>
  <c r="Z58" i="73"/>
  <c r="R58" i="73"/>
  <c r="V58" i="73"/>
  <c r="AD58" i="73"/>
  <c r="N58" i="73"/>
  <c r="I62" i="73"/>
  <c r="AD53" i="73"/>
  <c r="AB53" i="73"/>
  <c r="Z53" i="73"/>
  <c r="X53" i="73"/>
  <c r="V53" i="73"/>
  <c r="T53" i="73"/>
  <c r="R53" i="73"/>
  <c r="P53" i="73"/>
  <c r="N53" i="73"/>
  <c r="L53" i="73"/>
  <c r="I79" i="73"/>
  <c r="AB70" i="73"/>
  <c r="X70" i="73"/>
  <c r="T70" i="73"/>
  <c r="P70" i="73"/>
  <c r="L70" i="73"/>
  <c r="AD70" i="73"/>
  <c r="V70" i="73"/>
  <c r="N70" i="73"/>
  <c r="Z70" i="73"/>
  <c r="R70" i="73"/>
  <c r="AB68" i="73"/>
  <c r="T68" i="73"/>
  <c r="L68" i="73"/>
  <c r="Z42" i="73"/>
  <c r="R42" i="73"/>
  <c r="AD68" i="73"/>
  <c r="V68" i="73"/>
  <c r="I50" i="73"/>
  <c r="AB44" i="73"/>
  <c r="X44" i="73"/>
  <c r="T44" i="73"/>
  <c r="P44" i="73"/>
  <c r="L44" i="73"/>
  <c r="Z44" i="73"/>
  <c r="R44" i="73"/>
  <c r="AD44" i="73"/>
  <c r="N44" i="73"/>
  <c r="V44" i="73"/>
  <c r="X42" i="73"/>
  <c r="P42" i="73"/>
  <c r="AB21" i="73"/>
  <c r="X21" i="73"/>
  <c r="T21" i="73"/>
  <c r="P21" i="73"/>
  <c r="L21" i="73"/>
  <c r="I32" i="73"/>
  <c r="AD21" i="73"/>
  <c r="V21" i="73"/>
  <c r="N21" i="73"/>
  <c r="Z21" i="73"/>
  <c r="R21" i="73"/>
  <c r="AB7" i="73"/>
  <c r="X7" i="73"/>
  <c r="T7" i="73"/>
  <c r="P7" i="73"/>
  <c r="L7" i="73"/>
  <c r="I14" i="73"/>
  <c r="AD7" i="73"/>
  <c r="V7" i="73"/>
  <c r="N7" i="73"/>
  <c r="Z7" i="73"/>
  <c r="R7" i="73"/>
  <c r="AB16" i="73"/>
  <c r="X16" i="73"/>
  <c r="T16" i="73"/>
  <c r="P16" i="73"/>
  <c r="L16" i="73"/>
  <c r="Z16" i="73"/>
  <c r="R16" i="73"/>
  <c r="I19" i="73"/>
  <c r="AD16" i="73"/>
  <c r="V16" i="73"/>
  <c r="N16" i="73"/>
  <c r="I88" i="73" l="1"/>
  <c r="L14" i="73"/>
  <c r="T14" i="73"/>
  <c r="AB14" i="73"/>
  <c r="N14" i="73"/>
  <c r="R14" i="73"/>
  <c r="V14" i="73"/>
  <c r="Z14" i="73"/>
  <c r="AD14" i="73"/>
  <c r="P14" i="73"/>
  <c r="X14" i="73"/>
  <c r="R19" i="73"/>
  <c r="Z19" i="73"/>
  <c r="L19" i="73"/>
  <c r="T19" i="73"/>
  <c r="AB19" i="73"/>
  <c r="N19" i="73"/>
  <c r="V19" i="73"/>
  <c r="AD19" i="73"/>
  <c r="P19" i="73"/>
  <c r="X19" i="73"/>
  <c r="L32" i="73"/>
  <c r="T32" i="73"/>
  <c r="AB32" i="73"/>
  <c r="R32" i="73"/>
  <c r="Z32" i="73"/>
  <c r="P32" i="73"/>
  <c r="X32" i="73"/>
  <c r="N32" i="73"/>
  <c r="V32" i="73"/>
  <c r="AD32" i="73"/>
  <c r="AD50" i="73"/>
  <c r="AB50" i="73"/>
  <c r="Z50" i="73"/>
  <c r="X50" i="73"/>
  <c r="V50" i="73"/>
  <c r="T50" i="73"/>
  <c r="R50" i="73"/>
  <c r="P50" i="73"/>
  <c r="N50" i="73"/>
  <c r="L50" i="73"/>
  <c r="AD79" i="73"/>
  <c r="AB79" i="73"/>
  <c r="Z79" i="73"/>
  <c r="X79" i="73"/>
  <c r="V79" i="73"/>
  <c r="T79" i="73"/>
  <c r="R79" i="73"/>
  <c r="P79" i="73"/>
  <c r="N79" i="73"/>
  <c r="L79" i="73"/>
  <c r="AD62" i="73"/>
  <c r="AB62" i="73"/>
  <c r="Z62" i="73"/>
  <c r="X62" i="73"/>
  <c r="V62" i="73"/>
  <c r="T62" i="73"/>
  <c r="R62" i="73"/>
  <c r="P62" i="73"/>
  <c r="N62" i="73"/>
  <c r="L62" i="73"/>
  <c r="AD88" i="73" l="1"/>
  <c r="V88" i="73"/>
  <c r="N88" i="73"/>
  <c r="T88" i="73"/>
  <c r="X88" i="73"/>
  <c r="Z88" i="73"/>
  <c r="R88" i="73"/>
  <c r="AB88" i="73"/>
  <c r="L88" i="73"/>
  <c r="P88" i="73"/>
  <c r="P59" i="72" l="1"/>
  <c r="O59" i="72"/>
  <c r="N59" i="72"/>
  <c r="M59" i="72"/>
  <c r="L59" i="72"/>
  <c r="K59" i="72"/>
  <c r="J59" i="72"/>
  <c r="I59" i="72"/>
  <c r="H59" i="72"/>
  <c r="G59" i="72"/>
  <c r="F59" i="72"/>
  <c r="E59" i="72"/>
  <c r="D59" i="72"/>
  <c r="Q58" i="72"/>
  <c r="Q57" i="72"/>
  <c r="Q56" i="72"/>
  <c r="Q55" i="72"/>
  <c r="Q59" i="72" s="1"/>
  <c r="P53" i="72"/>
  <c r="O53" i="72"/>
  <c r="N53" i="72"/>
  <c r="M53" i="72"/>
  <c r="L53" i="72"/>
  <c r="K53" i="72"/>
  <c r="J53" i="72"/>
  <c r="I53" i="72"/>
  <c r="H53" i="72"/>
  <c r="G53" i="72"/>
  <c r="F53" i="72"/>
  <c r="E53" i="72"/>
  <c r="D53" i="72"/>
  <c r="Q52" i="72"/>
  <c r="Q51" i="72"/>
  <c r="Q50" i="72"/>
  <c r="Q49" i="72"/>
  <c r="Q48" i="72"/>
  <c r="Q47" i="72"/>
  <c r="Q46" i="72"/>
  <c r="Q45" i="72"/>
  <c r="Q44" i="72"/>
  <c r="Q53" i="72" s="1"/>
  <c r="P42" i="72"/>
  <c r="O42" i="72"/>
  <c r="N42" i="72"/>
  <c r="M42" i="72"/>
  <c r="L42" i="72"/>
  <c r="K42" i="72"/>
  <c r="J42" i="72"/>
  <c r="I42" i="72"/>
  <c r="H42" i="72"/>
  <c r="G42" i="72"/>
  <c r="F42" i="72"/>
  <c r="E42" i="72"/>
  <c r="D42" i="72"/>
  <c r="Q41" i="72"/>
  <c r="Q40" i="72"/>
  <c r="Q39" i="72"/>
  <c r="Q38" i="72"/>
  <c r="Q37" i="72"/>
  <c r="Q42" i="72" s="1"/>
  <c r="P35" i="72"/>
  <c r="O35" i="72"/>
  <c r="N35" i="72"/>
  <c r="M35" i="72"/>
  <c r="L35" i="72"/>
  <c r="K35" i="72"/>
  <c r="J35" i="72"/>
  <c r="I35" i="72"/>
  <c r="H35" i="72"/>
  <c r="G35" i="72"/>
  <c r="F35" i="72"/>
  <c r="E35" i="72"/>
  <c r="D35" i="72"/>
  <c r="Q34" i="72"/>
  <c r="Q33" i="72"/>
  <c r="Q32" i="72"/>
  <c r="Q31" i="72"/>
  <c r="Q30" i="72"/>
  <c r="Q35" i="72" s="1"/>
  <c r="P28" i="72"/>
  <c r="O28" i="72"/>
  <c r="N28" i="72"/>
  <c r="M28" i="72"/>
  <c r="L28" i="72"/>
  <c r="K28" i="72"/>
  <c r="J28" i="72"/>
  <c r="I28" i="72"/>
  <c r="H28" i="72"/>
  <c r="G28" i="72"/>
  <c r="F28" i="72"/>
  <c r="E28" i="72"/>
  <c r="D28" i="72"/>
  <c r="Q27" i="72"/>
  <c r="Q26" i="72"/>
  <c r="Q25" i="72"/>
  <c r="Q24" i="72"/>
  <c r="Q23" i="72"/>
  <c r="Q22" i="72"/>
  <c r="Q21" i="72"/>
  <c r="Q28" i="72" s="1"/>
  <c r="P19" i="72"/>
  <c r="O19" i="72"/>
  <c r="N19" i="72"/>
  <c r="M19" i="72"/>
  <c r="L19" i="72"/>
  <c r="K19" i="72"/>
  <c r="J19" i="72"/>
  <c r="I19" i="72"/>
  <c r="H19" i="72"/>
  <c r="G19" i="72"/>
  <c r="F19" i="72"/>
  <c r="E19" i="72"/>
  <c r="D19" i="72"/>
  <c r="Q18" i="72"/>
  <c r="Q17" i="72"/>
  <c r="Q16" i="72"/>
  <c r="Q15" i="72"/>
  <c r="Q14" i="72"/>
  <c r="Q19" i="72" s="1"/>
  <c r="P12" i="72"/>
  <c r="O12" i="72"/>
  <c r="N12" i="72"/>
  <c r="M12" i="72"/>
  <c r="L12" i="72"/>
  <c r="K12" i="72"/>
  <c r="J12" i="72"/>
  <c r="I12" i="72"/>
  <c r="H12" i="72"/>
  <c r="G12" i="72"/>
  <c r="F12" i="72"/>
  <c r="E12" i="72"/>
  <c r="D12" i="72"/>
  <c r="Q11" i="72"/>
  <c r="Q12" i="72" s="1"/>
  <c r="P9" i="72"/>
  <c r="P61" i="72" s="1"/>
  <c r="O9" i="72"/>
  <c r="O61" i="72" s="1"/>
  <c r="N9" i="72"/>
  <c r="N61" i="72" s="1"/>
  <c r="M9" i="72"/>
  <c r="M61" i="72" s="1"/>
  <c r="L9" i="72"/>
  <c r="L61" i="72" s="1"/>
  <c r="K9" i="72"/>
  <c r="K61" i="72" s="1"/>
  <c r="J9" i="72"/>
  <c r="J61" i="72" s="1"/>
  <c r="I9" i="72"/>
  <c r="I61" i="72" s="1"/>
  <c r="H9" i="72"/>
  <c r="H61" i="72" s="1"/>
  <c r="G9" i="72"/>
  <c r="G61" i="72" s="1"/>
  <c r="F9" i="72"/>
  <c r="F61" i="72" s="1"/>
  <c r="E9" i="72"/>
  <c r="E61" i="72" s="1"/>
  <c r="D9" i="72"/>
  <c r="D61" i="72" s="1"/>
  <c r="Q8" i="72"/>
  <c r="Q7" i="72"/>
  <c r="Q6" i="72"/>
  <c r="Q5" i="72"/>
  <c r="Q9" i="72" s="1"/>
  <c r="Q61" i="72" s="1"/>
  <c r="L47" i="71" l="1"/>
  <c r="J47" i="71"/>
  <c r="I47" i="71"/>
  <c r="H47" i="71"/>
  <c r="G47" i="71"/>
  <c r="F47" i="71"/>
  <c r="E47" i="71"/>
  <c r="D47" i="71"/>
  <c r="K46" i="71"/>
  <c r="K47" i="71" s="1"/>
  <c r="M44" i="71"/>
  <c r="L44" i="71"/>
  <c r="K44" i="71"/>
  <c r="J44" i="71"/>
  <c r="I44" i="71"/>
  <c r="H44" i="71"/>
  <c r="G44" i="71"/>
  <c r="F44" i="71"/>
  <c r="E44" i="71"/>
  <c r="D44" i="71"/>
  <c r="L41" i="71"/>
  <c r="J41" i="71"/>
  <c r="I41" i="71"/>
  <c r="H41" i="71"/>
  <c r="G41" i="71"/>
  <c r="F41" i="71"/>
  <c r="E41" i="71"/>
  <c r="D41" i="71"/>
  <c r="K40" i="71"/>
  <c r="M40" i="71" s="1"/>
  <c r="K39" i="71"/>
  <c r="M39" i="71" s="1"/>
  <c r="K38" i="71"/>
  <c r="M38" i="71" s="1"/>
  <c r="K37" i="71"/>
  <c r="K41" i="71" s="1"/>
  <c r="L35" i="71"/>
  <c r="J35" i="71"/>
  <c r="I35" i="71"/>
  <c r="H35" i="71"/>
  <c r="G35" i="71"/>
  <c r="F35" i="71"/>
  <c r="E35" i="71"/>
  <c r="D35" i="71"/>
  <c r="K34" i="71"/>
  <c r="M34" i="71" s="1"/>
  <c r="K33" i="71"/>
  <c r="K35" i="71" s="1"/>
  <c r="L31" i="71"/>
  <c r="J31" i="71"/>
  <c r="I31" i="71"/>
  <c r="H31" i="71"/>
  <c r="G31" i="71"/>
  <c r="F31" i="71"/>
  <c r="E31" i="71"/>
  <c r="D31" i="71"/>
  <c r="K30" i="71"/>
  <c r="K31" i="71" s="1"/>
  <c r="L28" i="71"/>
  <c r="J28" i="71"/>
  <c r="I28" i="71"/>
  <c r="H28" i="71"/>
  <c r="G28" i="71"/>
  <c r="F28" i="71"/>
  <c r="E28" i="71"/>
  <c r="D28" i="71"/>
  <c r="K27" i="71"/>
  <c r="K28" i="71" s="1"/>
  <c r="L25" i="71"/>
  <c r="J25" i="71"/>
  <c r="I25" i="71"/>
  <c r="H25" i="71"/>
  <c r="G25" i="71"/>
  <c r="F25" i="71"/>
  <c r="E25" i="71"/>
  <c r="D25" i="71"/>
  <c r="K24" i="71"/>
  <c r="K25" i="71" s="1"/>
  <c r="L22" i="71"/>
  <c r="J22" i="71"/>
  <c r="I22" i="71"/>
  <c r="H22" i="71"/>
  <c r="G22" i="71"/>
  <c r="F22" i="71"/>
  <c r="E22" i="71"/>
  <c r="D22" i="71"/>
  <c r="K21" i="71"/>
  <c r="M21" i="71" s="1"/>
  <c r="K20" i="71"/>
  <c r="M20" i="71" s="1"/>
  <c r="K19" i="71"/>
  <c r="M19" i="71" s="1"/>
  <c r="K18" i="71"/>
  <c r="M18" i="71" s="1"/>
  <c r="K17" i="71"/>
  <c r="M17" i="71" s="1"/>
  <c r="K16" i="71"/>
  <c r="K22" i="71" s="1"/>
  <c r="L14" i="71"/>
  <c r="J14" i="71"/>
  <c r="I14" i="71"/>
  <c r="H14" i="71"/>
  <c r="G14" i="71"/>
  <c r="F14" i="71"/>
  <c r="E14" i="71"/>
  <c r="D14" i="71"/>
  <c r="K13" i="71"/>
  <c r="M13" i="71" s="1"/>
  <c r="K12" i="71"/>
  <c r="K14" i="71" s="1"/>
  <c r="L10" i="71"/>
  <c r="L49" i="71" s="1"/>
  <c r="J10" i="71"/>
  <c r="J49" i="71" s="1"/>
  <c r="I10" i="71"/>
  <c r="I49" i="71" s="1"/>
  <c r="H10" i="71"/>
  <c r="H49" i="71" s="1"/>
  <c r="G10" i="71"/>
  <c r="G49" i="71" s="1"/>
  <c r="F10" i="71"/>
  <c r="F49" i="71" s="1"/>
  <c r="E10" i="71"/>
  <c r="E49" i="71" s="1"/>
  <c r="D10" i="71"/>
  <c r="D49" i="71" s="1"/>
  <c r="K9" i="71"/>
  <c r="M9" i="71" s="1"/>
  <c r="K8" i="71"/>
  <c r="M8" i="71" s="1"/>
  <c r="K7" i="71"/>
  <c r="K10" i="71" s="1"/>
  <c r="K49" i="71" l="1"/>
  <c r="M7" i="71"/>
  <c r="M10" i="71" s="1"/>
  <c r="M12" i="71"/>
  <c r="M14" i="71" s="1"/>
  <c r="M16" i="71"/>
  <c r="M22" i="71" s="1"/>
  <c r="M24" i="71"/>
  <c r="M25" i="71" s="1"/>
  <c r="M27" i="71"/>
  <c r="M28" i="71" s="1"/>
  <c r="M30" i="71"/>
  <c r="M31" i="71" s="1"/>
  <c r="M33" i="71"/>
  <c r="M35" i="71" s="1"/>
  <c r="M37" i="71"/>
  <c r="M41" i="71" s="1"/>
  <c r="M46" i="71"/>
  <c r="M47" i="71" s="1"/>
  <c r="M49" i="71" l="1"/>
  <c r="AD85" i="70" l="1"/>
  <c r="AC85" i="70"/>
  <c r="AB85" i="70"/>
  <c r="AA85" i="70"/>
  <c r="Z85" i="70"/>
  <c r="Y85" i="70"/>
  <c r="X85" i="70"/>
  <c r="V85" i="70"/>
  <c r="T85" i="70"/>
  <c r="U85" i="70" s="1"/>
  <c r="R85" i="70"/>
  <c r="P85" i="70"/>
  <c r="Q85" i="70" s="1"/>
  <c r="N85" i="70"/>
  <c r="M85" i="70"/>
  <c r="L85" i="70"/>
  <c r="K85" i="70"/>
  <c r="J85" i="70"/>
  <c r="I85" i="70"/>
  <c r="H85" i="70"/>
  <c r="G85" i="70"/>
  <c r="F85" i="70"/>
  <c r="E85" i="70"/>
  <c r="D85" i="70"/>
  <c r="AD84" i="70"/>
  <c r="X84" i="70"/>
  <c r="U84" i="70"/>
  <c r="Q84" i="70"/>
  <c r="O84" i="70"/>
  <c r="AD83" i="70"/>
  <c r="X83" i="70"/>
  <c r="W83" i="70"/>
  <c r="U83" i="70"/>
  <c r="S83" i="70"/>
  <c r="Q83" i="70"/>
  <c r="O83" i="70"/>
  <c r="AD82" i="70"/>
  <c r="X82" i="70"/>
  <c r="U82" i="70"/>
  <c r="Q82" i="70"/>
  <c r="O82" i="70"/>
  <c r="AD81" i="70"/>
  <c r="X81" i="70"/>
  <c r="W81" i="70"/>
  <c r="U81" i="70"/>
  <c r="S81" i="70"/>
  <c r="Q81" i="70"/>
  <c r="O81" i="70"/>
  <c r="AD80" i="70"/>
  <c r="X80" i="70"/>
  <c r="U80" i="70"/>
  <c r="Q80" i="70"/>
  <c r="O80" i="70"/>
  <c r="O85" i="70" s="1"/>
  <c r="AC78" i="70"/>
  <c r="AB78" i="70"/>
  <c r="AA78" i="70"/>
  <c r="Z78" i="70"/>
  <c r="Y78" i="70"/>
  <c r="V78" i="70"/>
  <c r="T78" i="70"/>
  <c r="R78" i="70"/>
  <c r="P78" i="70"/>
  <c r="N78" i="70"/>
  <c r="M78" i="70"/>
  <c r="L78" i="70"/>
  <c r="K78" i="70"/>
  <c r="J78" i="70"/>
  <c r="I78" i="70"/>
  <c r="H78" i="70"/>
  <c r="G78" i="70"/>
  <c r="F78" i="70"/>
  <c r="E78" i="70"/>
  <c r="D78" i="70"/>
  <c r="AD77" i="70"/>
  <c r="X77" i="70"/>
  <c r="Q77" i="70"/>
  <c r="O77" i="70"/>
  <c r="AD76" i="70"/>
  <c r="X76" i="70"/>
  <c r="W76" i="70"/>
  <c r="U76" i="70"/>
  <c r="S76" i="70"/>
  <c r="Q76" i="70"/>
  <c r="O76" i="70"/>
  <c r="AD75" i="70"/>
  <c r="X75" i="70"/>
  <c r="Q75" i="70"/>
  <c r="O75" i="70"/>
  <c r="AD74" i="70"/>
  <c r="X74" i="70"/>
  <c r="W74" i="70"/>
  <c r="U74" i="70"/>
  <c r="S74" i="70"/>
  <c r="Q74" i="70"/>
  <c r="O74" i="70"/>
  <c r="AD73" i="70"/>
  <c r="X73" i="70"/>
  <c r="Q73" i="70"/>
  <c r="O73" i="70"/>
  <c r="AD72" i="70"/>
  <c r="X72" i="70"/>
  <c r="W72" i="70"/>
  <c r="U72" i="70"/>
  <c r="S72" i="70"/>
  <c r="Q72" i="70"/>
  <c r="O72" i="70"/>
  <c r="AD71" i="70"/>
  <c r="X71" i="70"/>
  <c r="Q71" i="70"/>
  <c r="O71" i="70"/>
  <c r="AD70" i="70"/>
  <c r="AD78" i="70" s="1"/>
  <c r="X70" i="70"/>
  <c r="W70" i="70"/>
  <c r="U70" i="70"/>
  <c r="S70" i="70"/>
  <c r="Q70" i="70"/>
  <c r="O70" i="70"/>
  <c r="AD69" i="70"/>
  <c r="X69" i="70"/>
  <c r="Q69" i="70"/>
  <c r="O69" i="70"/>
  <c r="AD67" i="70"/>
  <c r="AC67" i="70"/>
  <c r="AB67" i="70"/>
  <c r="AA67" i="70"/>
  <c r="Z67" i="70"/>
  <c r="Y67" i="70"/>
  <c r="X67" i="70"/>
  <c r="V67" i="70"/>
  <c r="T67" i="70"/>
  <c r="U67" i="70" s="1"/>
  <c r="R67" i="70"/>
  <c r="P67" i="70"/>
  <c r="Q67" i="70" s="1"/>
  <c r="N67" i="70"/>
  <c r="M67" i="70"/>
  <c r="L67" i="70"/>
  <c r="K67" i="70"/>
  <c r="J67" i="70"/>
  <c r="I67" i="70"/>
  <c r="H67" i="70"/>
  <c r="G67" i="70"/>
  <c r="F67" i="70"/>
  <c r="E67" i="70"/>
  <c r="D67" i="70"/>
  <c r="AD66" i="70"/>
  <c r="X66" i="70"/>
  <c r="U66" i="70"/>
  <c r="Q66" i="70"/>
  <c r="O66" i="70"/>
  <c r="AD65" i="70"/>
  <c r="X65" i="70"/>
  <c r="W65" i="70"/>
  <c r="U65" i="70"/>
  <c r="S65" i="70"/>
  <c r="Q65" i="70"/>
  <c r="O65" i="70"/>
  <c r="AD64" i="70"/>
  <c r="X64" i="70"/>
  <c r="U64" i="70"/>
  <c r="Q64" i="70"/>
  <c r="O64" i="70"/>
  <c r="AD63" i="70"/>
  <c r="X63" i="70"/>
  <c r="W63" i="70"/>
  <c r="U63" i="70"/>
  <c r="S63" i="70"/>
  <c r="Q63" i="70"/>
  <c r="O63" i="70"/>
  <c r="O67" i="70" s="1"/>
  <c r="AC61" i="70"/>
  <c r="AB61" i="70"/>
  <c r="AA61" i="70"/>
  <c r="Z61" i="70"/>
  <c r="Y61" i="70"/>
  <c r="V61" i="70"/>
  <c r="T61" i="70"/>
  <c r="R61" i="70"/>
  <c r="P61" i="70"/>
  <c r="N61" i="70"/>
  <c r="M61" i="70"/>
  <c r="L61" i="70"/>
  <c r="K61" i="70"/>
  <c r="J61" i="70"/>
  <c r="I61" i="70"/>
  <c r="H61" i="70"/>
  <c r="G61" i="70"/>
  <c r="F61" i="70"/>
  <c r="E61" i="70"/>
  <c r="D61" i="70"/>
  <c r="AD60" i="70"/>
  <c r="X60" i="70"/>
  <c r="W60" i="70"/>
  <c r="U60" i="70"/>
  <c r="S60" i="70"/>
  <c r="Q60" i="70"/>
  <c r="O60" i="70"/>
  <c r="AD59" i="70"/>
  <c r="X59" i="70"/>
  <c r="U59" i="70"/>
  <c r="Q59" i="70"/>
  <c r="O59" i="70"/>
  <c r="AD58" i="70"/>
  <c r="X58" i="70"/>
  <c r="W58" i="70"/>
  <c r="U58" i="70"/>
  <c r="S58" i="70"/>
  <c r="Q58" i="70"/>
  <c r="O58" i="70"/>
  <c r="AD57" i="70"/>
  <c r="X57" i="70"/>
  <c r="U57" i="70"/>
  <c r="Q57" i="70"/>
  <c r="O57" i="70"/>
  <c r="AD56" i="70"/>
  <c r="X56" i="70"/>
  <c r="W56" i="70"/>
  <c r="U56" i="70"/>
  <c r="S56" i="70"/>
  <c r="Q56" i="70"/>
  <c r="O56" i="70"/>
  <c r="AD55" i="70"/>
  <c r="X55" i="70"/>
  <c r="U55" i="70"/>
  <c r="Q55" i="70"/>
  <c r="O55" i="70"/>
  <c r="AD54" i="70"/>
  <c r="AD61" i="70" s="1"/>
  <c r="X54" i="70"/>
  <c r="X61" i="70" s="1"/>
  <c r="W61" i="70" s="1"/>
  <c r="W54" i="70"/>
  <c r="U54" i="70"/>
  <c r="S54" i="70"/>
  <c r="Q54" i="70"/>
  <c r="O54" i="70"/>
  <c r="O61" i="70" s="1"/>
  <c r="AC52" i="70"/>
  <c r="AB52" i="70"/>
  <c r="AA52" i="70"/>
  <c r="Z52" i="70"/>
  <c r="Y52" i="70"/>
  <c r="V52" i="70"/>
  <c r="T52" i="70"/>
  <c r="R52" i="70"/>
  <c r="P52" i="70"/>
  <c r="N52" i="70"/>
  <c r="M52" i="70"/>
  <c r="L52" i="70"/>
  <c r="K52" i="70"/>
  <c r="J52" i="70"/>
  <c r="I52" i="70"/>
  <c r="H52" i="70"/>
  <c r="G52" i="70"/>
  <c r="F52" i="70"/>
  <c r="E52" i="70"/>
  <c r="D52" i="70"/>
  <c r="AD51" i="70"/>
  <c r="AD52" i="70" s="1"/>
  <c r="X51" i="70"/>
  <c r="X52" i="70" s="1"/>
  <c r="W52" i="70" s="1"/>
  <c r="W51" i="70"/>
  <c r="U51" i="70"/>
  <c r="S51" i="70"/>
  <c r="Q51" i="70"/>
  <c r="O51" i="70"/>
  <c r="O52" i="70" s="1"/>
  <c r="AC49" i="70"/>
  <c r="AB49" i="70"/>
  <c r="AA49" i="70"/>
  <c r="AA87" i="70" s="1"/>
  <c r="Z49" i="70"/>
  <c r="Y49" i="70"/>
  <c r="V49" i="70"/>
  <c r="T49" i="70"/>
  <c r="R49" i="70"/>
  <c r="P49" i="70"/>
  <c r="N49" i="70"/>
  <c r="M49" i="70"/>
  <c r="L49" i="70"/>
  <c r="K49" i="70"/>
  <c r="J49" i="70"/>
  <c r="I49" i="70"/>
  <c r="H49" i="70"/>
  <c r="G49" i="70"/>
  <c r="F49" i="70"/>
  <c r="E49" i="70"/>
  <c r="D49" i="70"/>
  <c r="AD48" i="70"/>
  <c r="X48" i="70"/>
  <c r="W48" i="70"/>
  <c r="U48" i="70"/>
  <c r="S48" i="70"/>
  <c r="Q48" i="70"/>
  <c r="O48" i="70"/>
  <c r="AD47" i="70"/>
  <c r="X47" i="70"/>
  <c r="U47" i="70"/>
  <c r="Q47" i="70"/>
  <c r="O47" i="70"/>
  <c r="AD46" i="70"/>
  <c r="X46" i="70"/>
  <c r="W46" i="70"/>
  <c r="U46" i="70"/>
  <c r="S46" i="70"/>
  <c r="Q46" i="70"/>
  <c r="O46" i="70"/>
  <c r="AD45" i="70"/>
  <c r="X45" i="70"/>
  <c r="U45" i="70"/>
  <c r="Q45" i="70"/>
  <c r="O45" i="70"/>
  <c r="AD44" i="70"/>
  <c r="X44" i="70"/>
  <c r="W44" i="70"/>
  <c r="U44" i="70"/>
  <c r="S44" i="70"/>
  <c r="Q44" i="70"/>
  <c r="O44" i="70"/>
  <c r="O49" i="70" s="1"/>
  <c r="AD43" i="70"/>
  <c r="AD49" i="70" s="1"/>
  <c r="X43" i="70"/>
  <c r="U43" i="70"/>
  <c r="Q43" i="70"/>
  <c r="O43" i="70"/>
  <c r="AA41" i="70"/>
  <c r="Z41" i="70"/>
  <c r="Y41" i="70"/>
  <c r="V41" i="70"/>
  <c r="T41" i="70"/>
  <c r="R41" i="70"/>
  <c r="P41" i="70"/>
  <c r="N41" i="70"/>
  <c r="M41" i="70"/>
  <c r="L41" i="70"/>
  <c r="K41" i="70"/>
  <c r="J41" i="70"/>
  <c r="I41" i="70"/>
  <c r="H41" i="70"/>
  <c r="G41" i="70"/>
  <c r="F41" i="70"/>
  <c r="E41" i="70"/>
  <c r="D41" i="70"/>
  <c r="AD40" i="70"/>
  <c r="X40" i="70"/>
  <c r="Q40" i="70"/>
  <c r="O40" i="70"/>
  <c r="AD39" i="70"/>
  <c r="X39" i="70"/>
  <c r="W39" i="70"/>
  <c r="U39" i="70"/>
  <c r="S39" i="70"/>
  <c r="Q39" i="70"/>
  <c r="O39" i="70"/>
  <c r="AD38" i="70"/>
  <c r="X38" i="70"/>
  <c r="Q38" i="70"/>
  <c r="O38" i="70"/>
  <c r="AD37" i="70"/>
  <c r="X37" i="70"/>
  <c r="W37" i="70"/>
  <c r="U37" i="70"/>
  <c r="S37" i="70"/>
  <c r="Q37" i="70"/>
  <c r="O37" i="70"/>
  <c r="AD36" i="70"/>
  <c r="X36" i="70"/>
  <c r="Q36" i="70"/>
  <c r="O36" i="70"/>
  <c r="AD35" i="70"/>
  <c r="X35" i="70"/>
  <c r="W35" i="70"/>
  <c r="U35" i="70"/>
  <c r="S35" i="70"/>
  <c r="Q35" i="70"/>
  <c r="O35" i="70"/>
  <c r="AD34" i="70"/>
  <c r="X34" i="70"/>
  <c r="Q34" i="70"/>
  <c r="O34" i="70"/>
  <c r="AD33" i="70"/>
  <c r="AD41" i="70" s="1"/>
  <c r="X33" i="70"/>
  <c r="W33" i="70"/>
  <c r="U33" i="70"/>
  <c r="S33" i="70"/>
  <c r="Q33" i="70"/>
  <c r="O33" i="70"/>
  <c r="O41" i="70" s="1"/>
  <c r="AC31" i="70"/>
  <c r="AB31" i="70"/>
  <c r="AA31" i="70"/>
  <c r="Z31" i="70"/>
  <c r="Y31" i="70"/>
  <c r="V31" i="70"/>
  <c r="T31" i="70"/>
  <c r="R31" i="70"/>
  <c r="P31" i="70"/>
  <c r="N31" i="70"/>
  <c r="M31" i="70"/>
  <c r="L31" i="70"/>
  <c r="K31" i="70"/>
  <c r="K87" i="70" s="1"/>
  <c r="J31" i="70"/>
  <c r="I31" i="70"/>
  <c r="H31" i="70"/>
  <c r="G31" i="70"/>
  <c r="G87" i="70" s="1"/>
  <c r="F31" i="70"/>
  <c r="E31" i="70"/>
  <c r="D31" i="70"/>
  <c r="AD30" i="70"/>
  <c r="X30" i="70"/>
  <c r="W30" i="70"/>
  <c r="U30" i="70"/>
  <c r="S30" i="70"/>
  <c r="Q30" i="70"/>
  <c r="O30" i="70"/>
  <c r="AD29" i="70"/>
  <c r="X29" i="70"/>
  <c r="Q29" i="70"/>
  <c r="O29" i="70"/>
  <c r="AD28" i="70"/>
  <c r="X28" i="70"/>
  <c r="W28" i="70"/>
  <c r="U28" i="70"/>
  <c r="S28" i="70"/>
  <c r="Q28" i="70"/>
  <c r="O28" i="70"/>
  <c r="AD27" i="70"/>
  <c r="X27" i="70"/>
  <c r="W27" i="70" s="1"/>
  <c r="S27" i="70"/>
  <c r="O27" i="70"/>
  <c r="AD26" i="70"/>
  <c r="X26" i="70"/>
  <c r="W26" i="70" s="1"/>
  <c r="U26" i="70"/>
  <c r="Q26" i="70"/>
  <c r="O26" i="70"/>
  <c r="AD25" i="70"/>
  <c r="X25" i="70"/>
  <c r="W25" i="70"/>
  <c r="U25" i="70"/>
  <c r="S25" i="70"/>
  <c r="Q25" i="70"/>
  <c r="O25" i="70"/>
  <c r="AD24" i="70"/>
  <c r="X24" i="70"/>
  <c r="W24" i="70" s="1"/>
  <c r="Q24" i="70"/>
  <c r="O24" i="70"/>
  <c r="AD23" i="70"/>
  <c r="X23" i="70"/>
  <c r="W23" i="70"/>
  <c r="U23" i="70"/>
  <c r="S23" i="70"/>
  <c r="Q23" i="70"/>
  <c r="O23" i="70"/>
  <c r="AD22" i="70"/>
  <c r="X22" i="70"/>
  <c r="W22" i="70" s="1"/>
  <c r="O22" i="70"/>
  <c r="AD21" i="70"/>
  <c r="X21" i="70"/>
  <c r="W21" i="70"/>
  <c r="U21" i="70"/>
  <c r="S21" i="70"/>
  <c r="Q21" i="70"/>
  <c r="O21" i="70"/>
  <c r="O31" i="70" s="1"/>
  <c r="AD20" i="70"/>
  <c r="X20" i="70"/>
  <c r="X31" i="70" s="1"/>
  <c r="U31" i="70" s="1"/>
  <c r="U20" i="70"/>
  <c r="Q20" i="70"/>
  <c r="O20" i="70"/>
  <c r="AC18" i="70"/>
  <c r="AB18" i="70"/>
  <c r="AA18" i="70"/>
  <c r="Z18" i="70"/>
  <c r="Y18" i="70"/>
  <c r="V18" i="70"/>
  <c r="T18" i="70"/>
  <c r="R18" i="70"/>
  <c r="P18" i="70"/>
  <c r="N18" i="70"/>
  <c r="M18" i="70"/>
  <c r="L18" i="70"/>
  <c r="K18" i="70"/>
  <c r="J18" i="70"/>
  <c r="I18" i="70"/>
  <c r="H18" i="70"/>
  <c r="G18" i="70"/>
  <c r="F18" i="70"/>
  <c r="E18" i="70"/>
  <c r="D18" i="70"/>
  <c r="AD17" i="70"/>
  <c r="X17" i="70"/>
  <c r="W17" i="70" s="1"/>
  <c r="U17" i="70"/>
  <c r="Q17" i="70"/>
  <c r="O17" i="70"/>
  <c r="AD16" i="70"/>
  <c r="AD18" i="70" s="1"/>
  <c r="X16" i="70"/>
  <c r="W16" i="70"/>
  <c r="U16" i="70"/>
  <c r="S16" i="70"/>
  <c r="Q16" i="70"/>
  <c r="O16" i="70"/>
  <c r="AD15" i="70"/>
  <c r="X15" i="70"/>
  <c r="W15" i="70" s="1"/>
  <c r="Q15" i="70"/>
  <c r="O15" i="70"/>
  <c r="O18" i="70" s="1"/>
  <c r="AC13" i="70"/>
  <c r="AC87" i="70" s="1"/>
  <c r="AB13" i="70"/>
  <c r="AB87" i="70" s="1"/>
  <c r="AA13" i="70"/>
  <c r="Z13" i="70"/>
  <c r="Z87" i="70" s="1"/>
  <c r="Y13" i="70"/>
  <c r="Y87" i="70" s="1"/>
  <c r="V13" i="70"/>
  <c r="V87" i="70" s="1"/>
  <c r="T13" i="70"/>
  <c r="T87" i="70" s="1"/>
  <c r="R13" i="70"/>
  <c r="R87" i="70" s="1"/>
  <c r="P13" i="70"/>
  <c r="P87" i="70" s="1"/>
  <c r="N13" i="70"/>
  <c r="N87" i="70" s="1"/>
  <c r="M13" i="70"/>
  <c r="M87" i="70" s="1"/>
  <c r="L13" i="70"/>
  <c r="L87" i="70" s="1"/>
  <c r="K13" i="70"/>
  <c r="J13" i="70"/>
  <c r="J87" i="70" s="1"/>
  <c r="I13" i="70"/>
  <c r="I87" i="70" s="1"/>
  <c r="H13" i="70"/>
  <c r="H87" i="70" s="1"/>
  <c r="G13" i="70"/>
  <c r="F13" i="70"/>
  <c r="F87" i="70" s="1"/>
  <c r="E13" i="70"/>
  <c r="E87" i="70" s="1"/>
  <c r="D13" i="70"/>
  <c r="D87" i="70" s="1"/>
  <c r="AD12" i="70"/>
  <c r="X12" i="70"/>
  <c r="W12" i="70" s="1"/>
  <c r="U12" i="70"/>
  <c r="Q12" i="70"/>
  <c r="O12" i="70"/>
  <c r="AD11" i="70"/>
  <c r="X11" i="70"/>
  <c r="W11" i="70"/>
  <c r="U11" i="70"/>
  <c r="S11" i="70"/>
  <c r="Q11" i="70"/>
  <c r="O11" i="70"/>
  <c r="AD10" i="70"/>
  <c r="X10" i="70"/>
  <c r="W10" i="70" s="1"/>
  <c r="U10" i="70"/>
  <c r="Q10" i="70"/>
  <c r="O10" i="70"/>
  <c r="AD9" i="70"/>
  <c r="X9" i="70"/>
  <c r="W9" i="70"/>
  <c r="U9" i="70"/>
  <c r="S9" i="70"/>
  <c r="Q9" i="70"/>
  <c r="O9" i="70"/>
  <c r="AD8" i="70"/>
  <c r="X8" i="70"/>
  <c r="W8" i="70" s="1"/>
  <c r="U8" i="70"/>
  <c r="Q8" i="70"/>
  <c r="O8" i="70"/>
  <c r="AD7" i="70"/>
  <c r="AD13" i="70" s="1"/>
  <c r="X7" i="70"/>
  <c r="W7" i="70"/>
  <c r="U7" i="70"/>
  <c r="S7" i="70"/>
  <c r="Q7" i="70"/>
  <c r="O7" i="70"/>
  <c r="AD6" i="70"/>
  <c r="X6" i="70"/>
  <c r="W6" i="70" s="1"/>
  <c r="Q6" i="70"/>
  <c r="O6" i="70"/>
  <c r="O13" i="70" s="1"/>
  <c r="U18" i="70" l="1"/>
  <c r="AD87" i="70"/>
  <c r="W18" i="70"/>
  <c r="Q22" i="70"/>
  <c r="U22" i="70"/>
  <c r="W31" i="70"/>
  <c r="U6" i="70"/>
  <c r="X13" i="70"/>
  <c r="U15" i="70"/>
  <c r="X18" i="70"/>
  <c r="Q18" i="70" s="1"/>
  <c r="U24" i="70"/>
  <c r="W29" i="70"/>
  <c r="S29" i="70"/>
  <c r="Q31" i="70"/>
  <c r="S31" i="70"/>
  <c r="W34" i="70"/>
  <c r="S34" i="70"/>
  <c r="W36" i="70"/>
  <c r="S36" i="70"/>
  <c r="W38" i="70"/>
  <c r="S38" i="70"/>
  <c r="W40" i="70"/>
  <c r="S40" i="70"/>
  <c r="W69" i="70"/>
  <c r="S69" i="70"/>
  <c r="W71" i="70"/>
  <c r="S71" i="70"/>
  <c r="W73" i="70"/>
  <c r="S73" i="70"/>
  <c r="W75" i="70"/>
  <c r="S75" i="70"/>
  <c r="W77" i="70"/>
  <c r="S77" i="70"/>
  <c r="S6" i="70"/>
  <c r="S8" i="70"/>
  <c r="S10" i="70"/>
  <c r="S12" i="70"/>
  <c r="Q13" i="70"/>
  <c r="S13" i="70"/>
  <c r="U13" i="70"/>
  <c r="W13" i="70"/>
  <c r="S15" i="70"/>
  <c r="S17" i="70"/>
  <c r="S20" i="70"/>
  <c r="W20" i="70"/>
  <c r="AD31" i="70"/>
  <c r="S22" i="70"/>
  <c r="S24" i="70"/>
  <c r="S26" i="70"/>
  <c r="Q27" i="70"/>
  <c r="U27" i="70"/>
  <c r="U29" i="70"/>
  <c r="U34" i="70"/>
  <c r="U36" i="70"/>
  <c r="U38" i="70"/>
  <c r="U40" i="70"/>
  <c r="X41" i="70"/>
  <c r="S41" i="70" s="1"/>
  <c r="X49" i="70"/>
  <c r="W43" i="70"/>
  <c r="S43" i="70"/>
  <c r="W45" i="70"/>
  <c r="S45" i="70"/>
  <c r="W47" i="70"/>
  <c r="S47" i="70"/>
  <c r="Q52" i="70"/>
  <c r="S52" i="70"/>
  <c r="U52" i="70"/>
  <c r="W55" i="70"/>
  <c r="S55" i="70"/>
  <c r="W57" i="70"/>
  <c r="S57" i="70"/>
  <c r="W59" i="70"/>
  <c r="S59" i="70"/>
  <c r="Q61" i="70"/>
  <c r="S61" i="70"/>
  <c r="U61" i="70"/>
  <c r="W64" i="70"/>
  <c r="S64" i="70"/>
  <c r="W66" i="70"/>
  <c r="S66" i="70"/>
  <c r="S67" i="70"/>
  <c r="W67" i="70"/>
  <c r="O78" i="70"/>
  <c r="O87" i="70" s="1"/>
  <c r="U69" i="70"/>
  <c r="U71" i="70"/>
  <c r="U73" i="70"/>
  <c r="U75" i="70"/>
  <c r="U77" i="70"/>
  <c r="X78" i="70"/>
  <c r="S78" i="70" s="1"/>
  <c r="W80" i="70"/>
  <c r="S80" i="70"/>
  <c r="W82" i="70"/>
  <c r="S82" i="70"/>
  <c r="W84" i="70"/>
  <c r="S84" i="70"/>
  <c r="S85" i="70"/>
  <c r="W85" i="70"/>
  <c r="Q78" i="70" l="1"/>
  <c r="Q41" i="70"/>
  <c r="W78" i="70"/>
  <c r="W41" i="70"/>
  <c r="U78" i="70"/>
  <c r="W49" i="70"/>
  <c r="U49" i="70"/>
  <c r="S49" i="70"/>
  <c r="Q49" i="70"/>
  <c r="U41" i="70"/>
  <c r="X87" i="70"/>
  <c r="S18" i="70"/>
  <c r="Q87" i="70" l="1"/>
  <c r="S87" i="70"/>
  <c r="U87" i="70"/>
  <c r="W87" i="70"/>
  <c r="D95" i="69" l="1"/>
  <c r="AA86" i="69"/>
  <c r="Z86" i="69"/>
  <c r="AA84" i="69"/>
  <c r="Z84" i="69"/>
  <c r="R84" i="69"/>
  <c r="U84" i="69" s="1"/>
  <c r="Q84" i="69"/>
  <c r="P84" i="69"/>
  <c r="S84" i="69" s="1"/>
  <c r="O84" i="69"/>
  <c r="W84" i="69" s="1"/>
  <c r="N84" i="69"/>
  <c r="V84" i="69" s="1"/>
  <c r="M84" i="69"/>
  <c r="K84" i="69"/>
  <c r="J84" i="69"/>
  <c r="T84" i="69" s="1"/>
  <c r="I84" i="69"/>
  <c r="X83" i="69"/>
  <c r="W83" i="69"/>
  <c r="V83" i="69"/>
  <c r="X82" i="69"/>
  <c r="W82" i="69"/>
  <c r="V82" i="69"/>
  <c r="X81" i="69"/>
  <c r="W81" i="69"/>
  <c r="V81" i="69"/>
  <c r="X80" i="69"/>
  <c r="W80" i="69"/>
  <c r="V80" i="69"/>
  <c r="X79" i="69"/>
  <c r="W79" i="69"/>
  <c r="V79" i="69"/>
  <c r="AA77" i="69"/>
  <c r="Z77" i="69"/>
  <c r="U77" i="69"/>
  <c r="R77" i="69"/>
  <c r="X77" i="69" s="1"/>
  <c r="Q77" i="69"/>
  <c r="T77" i="69" s="1"/>
  <c r="P77" i="69"/>
  <c r="O77" i="69"/>
  <c r="W77" i="69" s="1"/>
  <c r="N77" i="69"/>
  <c r="V77" i="69" s="1"/>
  <c r="M77" i="69"/>
  <c r="K77" i="69"/>
  <c r="J77" i="69"/>
  <c r="L77" i="69" s="1"/>
  <c r="I77" i="69"/>
  <c r="S77" i="69" s="1"/>
  <c r="X76" i="69"/>
  <c r="W76" i="69"/>
  <c r="V76" i="69"/>
  <c r="X75" i="69"/>
  <c r="W75" i="69"/>
  <c r="V75" i="69"/>
  <c r="X74" i="69"/>
  <c r="W74" i="69"/>
  <c r="V74" i="69"/>
  <c r="X73" i="69"/>
  <c r="W73" i="69"/>
  <c r="V73" i="69"/>
  <c r="X72" i="69"/>
  <c r="W72" i="69"/>
  <c r="V72" i="69"/>
  <c r="X71" i="69"/>
  <c r="W71" i="69"/>
  <c r="V71" i="69"/>
  <c r="X70" i="69"/>
  <c r="W70" i="69"/>
  <c r="V70" i="69"/>
  <c r="X69" i="69"/>
  <c r="W69" i="69"/>
  <c r="V69" i="69"/>
  <c r="X68" i="69"/>
  <c r="W68" i="69"/>
  <c r="V68" i="69"/>
  <c r="AA66" i="69"/>
  <c r="Z66" i="69"/>
  <c r="R66" i="69"/>
  <c r="U66" i="69" s="1"/>
  <c r="Q66" i="69"/>
  <c r="P66" i="69"/>
  <c r="S66" i="69" s="1"/>
  <c r="O66" i="69"/>
  <c r="W66" i="69" s="1"/>
  <c r="N66" i="69"/>
  <c r="V66" i="69" s="1"/>
  <c r="M66" i="69"/>
  <c r="K66" i="69"/>
  <c r="J66" i="69"/>
  <c r="T66" i="69" s="1"/>
  <c r="I66" i="69"/>
  <c r="X65" i="69"/>
  <c r="W65" i="69"/>
  <c r="V65" i="69"/>
  <c r="X64" i="69"/>
  <c r="W64" i="69"/>
  <c r="V64" i="69"/>
  <c r="X63" i="69"/>
  <c r="W63" i="69"/>
  <c r="V63" i="69"/>
  <c r="X62" i="69"/>
  <c r="W62" i="69"/>
  <c r="V62" i="69"/>
  <c r="AA60" i="69"/>
  <c r="Z60" i="69"/>
  <c r="R60" i="69"/>
  <c r="U60" i="69" s="1"/>
  <c r="Q60" i="69"/>
  <c r="P60" i="69"/>
  <c r="S60" i="69" s="1"/>
  <c r="O60" i="69"/>
  <c r="W60" i="69" s="1"/>
  <c r="N60" i="69"/>
  <c r="V60" i="69" s="1"/>
  <c r="M60" i="69"/>
  <c r="K60" i="69"/>
  <c r="J60" i="69"/>
  <c r="T60" i="69" s="1"/>
  <c r="I60" i="69"/>
  <c r="X59" i="69"/>
  <c r="W59" i="69"/>
  <c r="V59" i="69"/>
  <c r="X58" i="69"/>
  <c r="W58" i="69"/>
  <c r="V58" i="69"/>
  <c r="X57" i="69"/>
  <c r="W57" i="69"/>
  <c r="V57" i="69"/>
  <c r="X56" i="69"/>
  <c r="W56" i="69"/>
  <c r="V56" i="69"/>
  <c r="X55" i="69"/>
  <c r="W55" i="69"/>
  <c r="V55" i="69"/>
  <c r="X54" i="69"/>
  <c r="W54" i="69"/>
  <c r="V54" i="69"/>
  <c r="X53" i="69"/>
  <c r="W53" i="69"/>
  <c r="V53" i="69"/>
  <c r="AA51" i="69"/>
  <c r="Z51" i="69"/>
  <c r="U51" i="69"/>
  <c r="R51" i="69"/>
  <c r="X51" i="69" s="1"/>
  <c r="Q51" i="69"/>
  <c r="T51" i="69" s="1"/>
  <c r="P51" i="69"/>
  <c r="O51" i="69"/>
  <c r="W51" i="69" s="1"/>
  <c r="N51" i="69"/>
  <c r="V51" i="69" s="1"/>
  <c r="M51" i="69"/>
  <c r="K51" i="69"/>
  <c r="J51" i="69"/>
  <c r="L51" i="69" s="1"/>
  <c r="I51" i="69"/>
  <c r="S51" i="69" s="1"/>
  <c r="X50" i="69"/>
  <c r="W50" i="69"/>
  <c r="V50" i="69"/>
  <c r="AA48" i="69"/>
  <c r="Z48" i="69"/>
  <c r="R48" i="69"/>
  <c r="U48" i="69" s="1"/>
  <c r="Q48" i="69"/>
  <c r="P48" i="69"/>
  <c r="S48" i="69" s="1"/>
  <c r="O48" i="69"/>
  <c r="W48" i="69" s="1"/>
  <c r="N48" i="69"/>
  <c r="V48" i="69" s="1"/>
  <c r="M48" i="69"/>
  <c r="K48" i="69"/>
  <c r="J48" i="69"/>
  <c r="T48" i="69" s="1"/>
  <c r="I48" i="69"/>
  <c r="X47" i="69"/>
  <c r="W47" i="69"/>
  <c r="V47" i="69"/>
  <c r="X46" i="69"/>
  <c r="W46" i="69"/>
  <c r="V46" i="69"/>
  <c r="X45" i="69"/>
  <c r="W45" i="69"/>
  <c r="V45" i="69"/>
  <c r="X44" i="69"/>
  <c r="W44" i="69"/>
  <c r="V44" i="69"/>
  <c r="X43" i="69"/>
  <c r="W43" i="69"/>
  <c r="V43" i="69"/>
  <c r="X42" i="69"/>
  <c r="W42" i="69"/>
  <c r="V42" i="69"/>
  <c r="AA40" i="69"/>
  <c r="Z40" i="69"/>
  <c r="R40" i="69"/>
  <c r="U40" i="69" s="1"/>
  <c r="Q40" i="69"/>
  <c r="P40" i="69"/>
  <c r="S40" i="69" s="1"/>
  <c r="O40" i="69"/>
  <c r="W40" i="69" s="1"/>
  <c r="N40" i="69"/>
  <c r="V40" i="69" s="1"/>
  <c r="M40" i="69"/>
  <c r="K40" i="69"/>
  <c r="J40" i="69"/>
  <c r="T40" i="69" s="1"/>
  <c r="I40" i="69"/>
  <c r="X39" i="69"/>
  <c r="W39" i="69"/>
  <c r="V39" i="69"/>
  <c r="X38" i="69"/>
  <c r="W38" i="69"/>
  <c r="V38" i="69"/>
  <c r="X37" i="69"/>
  <c r="W37" i="69"/>
  <c r="V37" i="69"/>
  <c r="X36" i="69"/>
  <c r="W36" i="69"/>
  <c r="V36" i="69"/>
  <c r="X35" i="69"/>
  <c r="W35" i="69"/>
  <c r="V35" i="69"/>
  <c r="X34" i="69"/>
  <c r="W34" i="69"/>
  <c r="V34" i="69"/>
  <c r="X33" i="69"/>
  <c r="W33" i="69"/>
  <c r="V33" i="69"/>
  <c r="X32" i="69"/>
  <c r="W32" i="69"/>
  <c r="V32" i="69"/>
  <c r="AA30" i="69"/>
  <c r="Z30" i="69"/>
  <c r="R30" i="69"/>
  <c r="U30" i="69" s="1"/>
  <c r="Q30" i="69"/>
  <c r="P30" i="69"/>
  <c r="S30" i="69" s="1"/>
  <c r="O30" i="69"/>
  <c r="W30" i="69" s="1"/>
  <c r="N30" i="69"/>
  <c r="V30" i="69" s="1"/>
  <c r="M30" i="69"/>
  <c r="K30" i="69"/>
  <c r="J30" i="69"/>
  <c r="T30" i="69" s="1"/>
  <c r="I30" i="69"/>
  <c r="X29" i="69"/>
  <c r="W29" i="69"/>
  <c r="V29" i="69"/>
  <c r="X28" i="69"/>
  <c r="W28" i="69"/>
  <c r="V28" i="69"/>
  <c r="X27" i="69"/>
  <c r="W27" i="69"/>
  <c r="V27" i="69"/>
  <c r="X26" i="69"/>
  <c r="W26" i="69"/>
  <c r="V26" i="69"/>
  <c r="X25" i="69"/>
  <c r="W25" i="69"/>
  <c r="V25" i="69"/>
  <c r="X24" i="69"/>
  <c r="W24" i="69"/>
  <c r="V24" i="69"/>
  <c r="X23" i="69"/>
  <c r="W23" i="69"/>
  <c r="V23" i="69"/>
  <c r="X22" i="69"/>
  <c r="W22" i="69"/>
  <c r="V22" i="69"/>
  <c r="X21" i="69"/>
  <c r="W21" i="69"/>
  <c r="V21" i="69"/>
  <c r="X20" i="69"/>
  <c r="W20" i="69"/>
  <c r="V20" i="69"/>
  <c r="X19" i="69"/>
  <c r="W19" i="69"/>
  <c r="V19" i="69"/>
  <c r="AA17" i="69"/>
  <c r="Z17" i="69"/>
  <c r="U17" i="69"/>
  <c r="R17" i="69"/>
  <c r="X17" i="69" s="1"/>
  <c r="Q17" i="69"/>
  <c r="T17" i="69" s="1"/>
  <c r="P17" i="69"/>
  <c r="O17" i="69"/>
  <c r="W17" i="69" s="1"/>
  <c r="N17" i="69"/>
  <c r="V17" i="69" s="1"/>
  <c r="M17" i="69"/>
  <c r="K17" i="69"/>
  <c r="J17" i="69"/>
  <c r="L17" i="69" s="1"/>
  <c r="I17" i="69"/>
  <c r="S17" i="69" s="1"/>
  <c r="X16" i="69"/>
  <c r="W16" i="69"/>
  <c r="V16" i="69"/>
  <c r="X15" i="69"/>
  <c r="W15" i="69"/>
  <c r="V15" i="69"/>
  <c r="X14" i="69"/>
  <c r="W14" i="69"/>
  <c r="V14" i="69"/>
  <c r="AA12" i="69"/>
  <c r="Z12" i="69"/>
  <c r="R12" i="69"/>
  <c r="U12" i="69" s="1"/>
  <c r="Q12" i="69"/>
  <c r="Q86" i="69" s="1"/>
  <c r="P12" i="69"/>
  <c r="S12" i="69" s="1"/>
  <c r="O12" i="69"/>
  <c r="O86" i="69" s="1"/>
  <c r="N12" i="69"/>
  <c r="N86" i="69" s="1"/>
  <c r="V86" i="69" s="1"/>
  <c r="M12" i="69"/>
  <c r="M86" i="69" s="1"/>
  <c r="K12" i="69"/>
  <c r="K86" i="69" s="1"/>
  <c r="J12" i="69"/>
  <c r="J86" i="69" s="1"/>
  <c r="I12" i="69"/>
  <c r="I86" i="69" s="1"/>
  <c r="X11" i="69"/>
  <c r="W11" i="69"/>
  <c r="V11" i="69"/>
  <c r="X10" i="69"/>
  <c r="W10" i="69"/>
  <c r="V10" i="69"/>
  <c r="X9" i="69"/>
  <c r="W9" i="69"/>
  <c r="V9" i="69"/>
  <c r="X8" i="69"/>
  <c r="W8" i="69"/>
  <c r="V8" i="69"/>
  <c r="X7" i="69"/>
  <c r="W7" i="69"/>
  <c r="V7" i="69"/>
  <c r="X6" i="69"/>
  <c r="W6" i="69"/>
  <c r="V6" i="69"/>
  <c r="X5" i="69"/>
  <c r="W5" i="69"/>
  <c r="V5" i="69"/>
  <c r="L86" i="69" l="1"/>
  <c r="W86" i="69"/>
  <c r="T86" i="69"/>
  <c r="L12" i="69"/>
  <c r="T12" i="69"/>
  <c r="V12" i="69"/>
  <c r="X12" i="69"/>
  <c r="L30" i="69"/>
  <c r="X30" i="69"/>
  <c r="L40" i="69"/>
  <c r="X40" i="69"/>
  <c r="L48" i="69"/>
  <c r="X48" i="69"/>
  <c r="L60" i="69"/>
  <c r="X60" i="69"/>
  <c r="L66" i="69"/>
  <c r="X66" i="69"/>
  <c r="L84" i="69"/>
  <c r="X84" i="69"/>
  <c r="P86" i="69"/>
  <c r="S86" i="69" s="1"/>
  <c r="R86" i="69"/>
  <c r="W12" i="69"/>
  <c r="U86" i="69" l="1"/>
  <c r="X86" i="69"/>
  <c r="F80" i="68" l="1"/>
  <c r="E80" i="68"/>
  <c r="D80" i="68"/>
  <c r="F79" i="68"/>
  <c r="E79" i="68"/>
  <c r="D79" i="68"/>
  <c r="F78" i="68"/>
  <c r="E78" i="68"/>
  <c r="D78" i="68"/>
  <c r="H77" i="68"/>
  <c r="H76" i="68"/>
  <c r="H75" i="68"/>
  <c r="H74" i="68"/>
  <c r="H73" i="68"/>
  <c r="H72" i="68"/>
  <c r="H71" i="68"/>
  <c r="H70" i="68"/>
  <c r="H69" i="68"/>
  <c r="H68" i="68"/>
  <c r="H67" i="68"/>
  <c r="H66" i="68"/>
  <c r="H65" i="68"/>
  <c r="H64" i="68"/>
  <c r="H63" i="68"/>
  <c r="H62" i="68"/>
  <c r="H61" i="68"/>
  <c r="H60" i="68"/>
  <c r="H59" i="68"/>
  <c r="H58" i="68"/>
  <c r="H57" i="68"/>
  <c r="H56" i="68"/>
  <c r="H55" i="68"/>
  <c r="H54" i="68"/>
  <c r="H53" i="68"/>
  <c r="H52" i="68"/>
  <c r="H51" i="68"/>
  <c r="H50" i="68"/>
  <c r="H49" i="68"/>
  <c r="H48" i="68"/>
  <c r="H47" i="68"/>
  <c r="H46" i="68"/>
  <c r="H45" i="68"/>
  <c r="H44" i="68"/>
  <c r="H43" i="68"/>
  <c r="H42" i="68"/>
  <c r="H41" i="68"/>
  <c r="H40" i="68"/>
  <c r="H39" i="68"/>
  <c r="H38" i="68"/>
  <c r="H37" i="68"/>
  <c r="H36" i="68"/>
  <c r="H35" i="68"/>
  <c r="H34" i="68"/>
  <c r="H33" i="68"/>
  <c r="H32" i="68"/>
  <c r="H31" i="68"/>
  <c r="H30" i="68"/>
  <c r="H29" i="68"/>
  <c r="H28" i="68"/>
  <c r="H27" i="68"/>
  <c r="H26" i="68"/>
  <c r="H25" i="68"/>
  <c r="H24" i="68"/>
  <c r="H23" i="68"/>
  <c r="H22" i="68"/>
  <c r="H21" i="68"/>
  <c r="H20" i="68"/>
  <c r="H19" i="68"/>
  <c r="H79" i="68" s="1"/>
  <c r="H18" i="68"/>
  <c r="H17" i="68"/>
  <c r="H16" i="68"/>
  <c r="H15" i="68"/>
  <c r="H14" i="68"/>
  <c r="H13" i="68"/>
  <c r="H12" i="68"/>
  <c r="H11" i="68"/>
  <c r="H10" i="68"/>
  <c r="H9" i="68"/>
  <c r="H8" i="68"/>
  <c r="H7" i="68"/>
  <c r="H6" i="68"/>
  <c r="H80" i="68" l="1"/>
  <c r="H78" i="68"/>
  <c r="L32" i="67" l="1"/>
  <c r="M32" i="67" s="1"/>
  <c r="J32" i="67"/>
  <c r="K32" i="67" s="1"/>
  <c r="H32" i="67"/>
  <c r="I32" i="67" s="1"/>
  <c r="F32" i="67"/>
  <c r="G32" i="67" s="1"/>
  <c r="E32" i="67"/>
  <c r="M30" i="67"/>
  <c r="K30" i="67"/>
  <c r="I30" i="67"/>
  <c r="G30" i="67"/>
  <c r="M29" i="67"/>
  <c r="K29" i="67"/>
  <c r="I29" i="67"/>
  <c r="G29" i="67"/>
  <c r="M28" i="67"/>
  <c r="K28" i="67"/>
  <c r="I28" i="67"/>
  <c r="G28" i="67"/>
  <c r="K23" i="67"/>
  <c r="I23" i="67"/>
  <c r="G23" i="67"/>
  <c r="F23" i="67"/>
  <c r="E23" i="67"/>
  <c r="K22" i="67"/>
  <c r="J22" i="67"/>
  <c r="I22" i="67"/>
  <c r="H22" i="67"/>
  <c r="K21" i="67"/>
  <c r="J21" i="67"/>
  <c r="M21" i="67" s="1"/>
  <c r="I21" i="67"/>
  <c r="H21" i="67"/>
  <c r="L21" i="67" s="1"/>
  <c r="K20" i="67"/>
  <c r="J20" i="67"/>
  <c r="M20" i="67" s="1"/>
  <c r="I20" i="67"/>
  <c r="H20" i="67"/>
  <c r="L20" i="67" s="1"/>
  <c r="K19" i="67"/>
  <c r="J19" i="67"/>
  <c r="J23" i="67" s="1"/>
  <c r="I19" i="67"/>
  <c r="H19" i="67"/>
  <c r="H23" i="67" s="1"/>
  <c r="M12" i="67"/>
  <c r="L12" i="67"/>
  <c r="K12" i="67"/>
  <c r="J12" i="67"/>
  <c r="I12" i="67"/>
  <c r="H12" i="67"/>
  <c r="G12" i="67"/>
  <c r="F12" i="67"/>
  <c r="E12" i="67"/>
  <c r="M23" i="67" l="1"/>
  <c r="L23" i="67"/>
  <c r="L19" i="67"/>
  <c r="M19" i="67"/>
  <c r="L41" i="66" l="1"/>
  <c r="M41" i="66" s="1"/>
  <c r="J41" i="66"/>
  <c r="K41" i="66" s="1"/>
  <c r="H41" i="66"/>
  <c r="I41" i="66" s="1"/>
  <c r="F41" i="66"/>
  <c r="G41" i="66" s="1"/>
  <c r="E41" i="66"/>
  <c r="M38" i="66"/>
  <c r="K38" i="66"/>
  <c r="I38" i="66"/>
  <c r="G38" i="66"/>
  <c r="M37" i="66"/>
  <c r="K37" i="66"/>
  <c r="I37" i="66"/>
  <c r="G37" i="66"/>
  <c r="J30" i="66"/>
  <c r="H30" i="66"/>
  <c r="F30" i="66"/>
  <c r="E30" i="66"/>
  <c r="K30" i="66" s="1"/>
  <c r="E29" i="66"/>
  <c r="K28" i="66"/>
  <c r="G28" i="66"/>
  <c r="E28" i="66"/>
  <c r="I28" i="66" s="1"/>
  <c r="K27" i="66"/>
  <c r="G27" i="66"/>
  <c r="E27" i="66"/>
  <c r="I27" i="66" s="1"/>
  <c r="K26" i="66"/>
  <c r="G26" i="66"/>
  <c r="E26" i="66"/>
  <c r="I26" i="66" s="1"/>
  <c r="J19" i="66"/>
  <c r="I19" i="66"/>
  <c r="M19" i="66" s="1"/>
  <c r="H19" i="66"/>
  <c r="G19" i="66"/>
  <c r="L19" i="66" s="1"/>
  <c r="F19" i="66"/>
  <c r="E19" i="66"/>
  <c r="K19" i="66" s="1"/>
  <c r="M17" i="66"/>
  <c r="L17" i="66"/>
  <c r="K17" i="66"/>
  <c r="M16" i="66"/>
  <c r="L16" i="66"/>
  <c r="K16" i="66"/>
  <c r="M15" i="66"/>
  <c r="L15" i="66"/>
  <c r="K15" i="66"/>
  <c r="L10" i="66"/>
  <c r="J10" i="66"/>
  <c r="I10" i="66"/>
  <c r="H10" i="66"/>
  <c r="G10" i="66"/>
  <c r="F10" i="66"/>
  <c r="E10" i="66"/>
  <c r="K9" i="66"/>
  <c r="H9" i="66"/>
  <c r="K8" i="66"/>
  <c r="H8" i="66"/>
  <c r="K7" i="66"/>
  <c r="H7" i="66"/>
  <c r="K6" i="66"/>
  <c r="K10" i="66" s="1"/>
  <c r="H6" i="66"/>
  <c r="G30" i="66" l="1"/>
  <c r="I30" i="66"/>
  <c r="I27" i="65" l="1"/>
  <c r="J22" i="65"/>
  <c r="I22" i="65"/>
  <c r="J17" i="65"/>
  <c r="I17" i="65"/>
  <c r="J10" i="65"/>
  <c r="I10" i="65"/>
  <c r="T42" i="64" l="1"/>
  <c r="V41" i="64"/>
  <c r="U41" i="64"/>
  <c r="T41" i="64"/>
  <c r="V40" i="64"/>
  <c r="U40" i="64"/>
  <c r="T40" i="64"/>
  <c r="V39" i="64"/>
  <c r="U39" i="64"/>
  <c r="T39" i="64"/>
  <c r="T38" i="64"/>
  <c r="T37" i="64"/>
  <c r="T36" i="64"/>
  <c r="T35" i="64"/>
  <c r="AA41" i="62"/>
  <c r="Y41" i="62"/>
  <c r="W41" i="62"/>
  <c r="AB40" i="62"/>
  <c r="AA40" i="62"/>
  <c r="Z40" i="62"/>
  <c r="Y40" i="62"/>
  <c r="X40" i="62"/>
  <c r="W40" i="62"/>
  <c r="P40" i="62"/>
  <c r="O40" i="62"/>
  <c r="N40" i="62"/>
  <c r="M40" i="62"/>
  <c r="L40" i="62"/>
  <c r="K40" i="62"/>
  <c r="J40" i="62"/>
  <c r="I40" i="62"/>
  <c r="G40" i="62"/>
  <c r="F40" i="62"/>
  <c r="E40" i="62"/>
  <c r="C40" i="62"/>
  <c r="B40" i="62"/>
  <c r="AB39" i="62"/>
  <c r="AB41" i="62" s="1"/>
  <c r="AA39" i="62"/>
  <c r="Z39" i="62"/>
  <c r="Z41" i="62" s="1"/>
  <c r="Y39" i="62"/>
  <c r="X39" i="62"/>
  <c r="X41" i="62" s="1"/>
  <c r="W39" i="62"/>
  <c r="P39" i="62"/>
  <c r="P41" i="62" s="1"/>
  <c r="O39" i="62"/>
  <c r="O41" i="62" s="1"/>
  <c r="N39" i="62"/>
  <c r="N41" i="62" s="1"/>
  <c r="M39" i="62"/>
  <c r="M41" i="62" s="1"/>
  <c r="L39" i="62"/>
  <c r="L41" i="62" s="1"/>
  <c r="K39" i="62"/>
  <c r="K41" i="62" s="1"/>
  <c r="J39" i="62"/>
  <c r="J41" i="62" s="1"/>
  <c r="I39" i="62"/>
  <c r="I41" i="62" s="1"/>
  <c r="G39" i="62"/>
  <c r="G41" i="62" s="1"/>
  <c r="F39" i="62"/>
  <c r="F41" i="62" s="1"/>
  <c r="E39" i="62"/>
  <c r="E41" i="62" s="1"/>
  <c r="D39" i="62"/>
  <c r="R40" i="62" s="1"/>
  <c r="C39" i="62"/>
  <c r="C41" i="62" s="1"/>
  <c r="AB38" i="62"/>
  <c r="AA38" i="62"/>
  <c r="Z38" i="62"/>
  <c r="Y38" i="62"/>
  <c r="X38" i="62"/>
  <c r="W38" i="62"/>
  <c r="V38" i="62"/>
  <c r="P38" i="62"/>
  <c r="O38" i="62"/>
  <c r="N38" i="62"/>
  <c r="M38" i="62"/>
  <c r="L38" i="62"/>
  <c r="K38" i="62"/>
  <c r="J38" i="62"/>
  <c r="I38" i="62"/>
  <c r="G38" i="62"/>
  <c r="F38" i="62"/>
  <c r="E38" i="62"/>
  <c r="S37" i="62" s="1"/>
  <c r="D38" i="62"/>
  <c r="C38" i="62"/>
  <c r="Q37" i="62" s="1"/>
  <c r="T37" i="62"/>
  <c r="U37" i="62" s="1"/>
  <c r="R37" i="62"/>
  <c r="AB35" i="62"/>
  <c r="AA35" i="62"/>
  <c r="Z35" i="62"/>
  <c r="Y35" i="62"/>
  <c r="X35" i="62"/>
  <c r="W35" i="62"/>
  <c r="V35" i="62"/>
  <c r="P35" i="62"/>
  <c r="O35" i="62"/>
  <c r="N35" i="62"/>
  <c r="M35" i="62"/>
  <c r="L35" i="62"/>
  <c r="K35" i="62"/>
  <c r="J35" i="62"/>
  <c r="I35" i="62"/>
  <c r="G35" i="62"/>
  <c r="F35" i="62"/>
  <c r="T34" i="62" s="1"/>
  <c r="U34" i="62" s="1"/>
  <c r="E35" i="62"/>
  <c r="D35" i="62"/>
  <c r="R34" i="62" s="1"/>
  <c r="C35" i="62"/>
  <c r="S34" i="62"/>
  <c r="Q34" i="62"/>
  <c r="AB32" i="62"/>
  <c r="AA32" i="62"/>
  <c r="Z32" i="62"/>
  <c r="Y32" i="62"/>
  <c r="X32" i="62"/>
  <c r="W32" i="62"/>
  <c r="V32" i="62"/>
  <c r="P32" i="62"/>
  <c r="O32" i="62"/>
  <c r="N32" i="62"/>
  <c r="M32" i="62"/>
  <c r="L32" i="62"/>
  <c r="K32" i="62"/>
  <c r="J32" i="62"/>
  <c r="T31" i="62" s="1"/>
  <c r="U31" i="62" s="1"/>
  <c r="I32" i="62"/>
  <c r="G32" i="62"/>
  <c r="Q31" i="62" s="1"/>
  <c r="F32" i="62"/>
  <c r="E32" i="62"/>
  <c r="C32" i="62"/>
  <c r="S31" i="62"/>
  <c r="AB29" i="62"/>
  <c r="AA29" i="62"/>
  <c r="Z29" i="62"/>
  <c r="Y29" i="62"/>
  <c r="X29" i="62"/>
  <c r="W29" i="62"/>
  <c r="V29" i="62"/>
  <c r="P29" i="62"/>
  <c r="O29" i="62"/>
  <c r="N29" i="62"/>
  <c r="M29" i="62"/>
  <c r="L29" i="62"/>
  <c r="K29" i="62"/>
  <c r="J29" i="62"/>
  <c r="I29" i="62"/>
  <c r="S28" i="62" s="1"/>
  <c r="G29" i="62"/>
  <c r="F29" i="62"/>
  <c r="E29" i="62"/>
  <c r="C29" i="62"/>
  <c r="T28" i="62"/>
  <c r="U28" i="62" s="1"/>
  <c r="Q28" i="62"/>
  <c r="AB26" i="62"/>
  <c r="AA26" i="62"/>
  <c r="Z26" i="62"/>
  <c r="Y26" i="62"/>
  <c r="X26" i="62"/>
  <c r="W26" i="62"/>
  <c r="V26" i="62"/>
  <c r="P26" i="62"/>
  <c r="O26" i="62"/>
  <c r="N26" i="62"/>
  <c r="M26" i="62"/>
  <c r="L26" i="62"/>
  <c r="K26" i="62"/>
  <c r="J26" i="62"/>
  <c r="I26" i="62"/>
  <c r="G26" i="62"/>
  <c r="F26" i="62"/>
  <c r="E26" i="62"/>
  <c r="S25" i="62" s="1"/>
  <c r="D26" i="62"/>
  <c r="C26" i="62"/>
  <c r="Q25" i="62" s="1"/>
  <c r="T25" i="62"/>
  <c r="U25" i="62" s="1"/>
  <c r="R25" i="62"/>
  <c r="AB23" i="62"/>
  <c r="AA23" i="62"/>
  <c r="Z23" i="62"/>
  <c r="Y23" i="62"/>
  <c r="X23" i="62"/>
  <c r="W23" i="62"/>
  <c r="V23" i="62"/>
  <c r="P23" i="62"/>
  <c r="O23" i="62"/>
  <c r="N23" i="62"/>
  <c r="M23" i="62"/>
  <c r="L23" i="62"/>
  <c r="K23" i="62"/>
  <c r="J23" i="62"/>
  <c r="I23" i="62"/>
  <c r="S22" i="62" s="1"/>
  <c r="G23" i="62"/>
  <c r="F23" i="62"/>
  <c r="E23" i="62"/>
  <c r="C23" i="62"/>
  <c r="T22" i="62"/>
  <c r="U22" i="62" s="1"/>
  <c r="Q22" i="62"/>
  <c r="AB20" i="62"/>
  <c r="AA20" i="62"/>
  <c r="Z20" i="62"/>
  <c r="Y20" i="62"/>
  <c r="X20" i="62"/>
  <c r="W20" i="62"/>
  <c r="V20" i="62"/>
  <c r="P20" i="62"/>
  <c r="O20" i="62"/>
  <c r="N20" i="62"/>
  <c r="M20" i="62"/>
  <c r="L20" i="62"/>
  <c r="K20" i="62"/>
  <c r="J20" i="62"/>
  <c r="I20" i="62"/>
  <c r="G20" i="62"/>
  <c r="F20" i="62"/>
  <c r="E20" i="62"/>
  <c r="S19" i="62" s="1"/>
  <c r="D20" i="62"/>
  <c r="C20" i="62"/>
  <c r="Q19" i="62" s="1"/>
  <c r="T19" i="62"/>
  <c r="U19" i="62" s="1"/>
  <c r="R19" i="62"/>
  <c r="AB17" i="62"/>
  <c r="AA17" i="62"/>
  <c r="Z17" i="62"/>
  <c r="Y17" i="62"/>
  <c r="X17" i="62"/>
  <c r="W17" i="62"/>
  <c r="V17" i="62"/>
  <c r="P17" i="62"/>
  <c r="O17" i="62"/>
  <c r="N17" i="62"/>
  <c r="M17" i="62"/>
  <c r="L17" i="62"/>
  <c r="K17" i="62"/>
  <c r="J17" i="62"/>
  <c r="I17" i="62"/>
  <c r="S16" i="62" s="1"/>
  <c r="G17" i="62"/>
  <c r="F17" i="62"/>
  <c r="E17" i="62"/>
  <c r="C17" i="62"/>
  <c r="T16" i="62"/>
  <c r="U16" i="62" s="1"/>
  <c r="Q16" i="62"/>
  <c r="AB14" i="62"/>
  <c r="AA14" i="62"/>
  <c r="Z14" i="62"/>
  <c r="Y14" i="62"/>
  <c r="X14" i="62"/>
  <c r="W14" i="62"/>
  <c r="V14" i="62"/>
  <c r="P14" i="62"/>
  <c r="O14" i="62"/>
  <c r="N14" i="62"/>
  <c r="M14" i="62"/>
  <c r="L14" i="62"/>
  <c r="K14" i="62"/>
  <c r="J14" i="62"/>
  <c r="I14" i="62"/>
  <c r="G14" i="62"/>
  <c r="F14" i="62"/>
  <c r="E14" i="62"/>
  <c r="S13" i="62" s="1"/>
  <c r="D14" i="62"/>
  <c r="C14" i="62"/>
  <c r="Q13" i="62" s="1"/>
  <c r="T13" i="62"/>
  <c r="U13" i="62" s="1"/>
  <c r="R13" i="62"/>
  <c r="AB11" i="62"/>
  <c r="AA11" i="62"/>
  <c r="Z11" i="62"/>
  <c r="Y11" i="62"/>
  <c r="X11" i="62"/>
  <c r="W11" i="62"/>
  <c r="V11" i="62"/>
  <c r="P11" i="62"/>
  <c r="O11" i="62"/>
  <c r="N11" i="62"/>
  <c r="M11" i="62"/>
  <c r="L11" i="62"/>
  <c r="K11" i="62"/>
  <c r="J11" i="62"/>
  <c r="I11" i="62"/>
  <c r="G11" i="62"/>
  <c r="F11" i="62"/>
  <c r="T10" i="62" s="1"/>
  <c r="E11" i="62"/>
  <c r="D11" i="62"/>
  <c r="R10" i="62" s="1"/>
  <c r="C11" i="62"/>
  <c r="S10" i="62"/>
  <c r="Q10" i="62"/>
  <c r="S40" i="62" l="1"/>
  <c r="T40" i="62"/>
  <c r="U40" i="62" s="1"/>
  <c r="U10" i="62"/>
  <c r="Q40" i="62"/>
  <c r="Q41" i="62" s="1"/>
  <c r="N52" i="61" l="1"/>
  <c r="L52" i="61"/>
  <c r="J52" i="61"/>
  <c r="I52" i="61"/>
  <c r="E52" i="61"/>
  <c r="D52" i="61"/>
  <c r="C52" i="61"/>
  <c r="B52" i="61"/>
  <c r="Q51" i="61"/>
  <c r="P51" i="61"/>
  <c r="O51" i="61"/>
  <c r="M51" i="61"/>
  <c r="K51" i="61"/>
  <c r="G51" i="61"/>
  <c r="H51" i="61" s="1"/>
  <c r="F51" i="61"/>
  <c r="Q50" i="61"/>
  <c r="P50" i="61"/>
  <c r="O50" i="61"/>
  <c r="M50" i="61"/>
  <c r="K50" i="61"/>
  <c r="G50" i="61"/>
  <c r="H50" i="61" s="1"/>
  <c r="F50" i="61"/>
  <c r="Q49" i="61"/>
  <c r="P49" i="61"/>
  <c r="O49" i="61"/>
  <c r="M49" i="61"/>
  <c r="K49" i="61"/>
  <c r="G49" i="61"/>
  <c r="H49" i="61" s="1"/>
  <c r="F49" i="61"/>
  <c r="Q48" i="61"/>
  <c r="P48" i="61"/>
  <c r="O48" i="61"/>
  <c r="M48" i="61"/>
  <c r="K48" i="61"/>
  <c r="G48" i="61"/>
  <c r="H48" i="61" s="1"/>
  <c r="F48" i="61"/>
  <c r="Q47" i="61"/>
  <c r="P47" i="61"/>
  <c r="O47" i="61"/>
  <c r="M47" i="61"/>
  <c r="K47" i="61"/>
  <c r="G47" i="61"/>
  <c r="H47" i="61" s="1"/>
  <c r="F47" i="61"/>
  <c r="Q46" i="61"/>
  <c r="P46" i="61"/>
  <c r="O46" i="61"/>
  <c r="M46" i="61"/>
  <c r="K46" i="61"/>
  <c r="G46" i="61"/>
  <c r="H46" i="61" s="1"/>
  <c r="F46" i="61"/>
  <c r="Q45" i="61"/>
  <c r="P45" i="61"/>
  <c r="O45" i="61"/>
  <c r="M45" i="61"/>
  <c r="K45" i="61"/>
  <c r="G45" i="61"/>
  <c r="H45" i="61" s="1"/>
  <c r="F45" i="61"/>
  <c r="Q44" i="61"/>
  <c r="P44" i="61"/>
  <c r="O44" i="61"/>
  <c r="M44" i="61"/>
  <c r="K44" i="61"/>
  <c r="G44" i="61"/>
  <c r="H44" i="61" s="1"/>
  <c r="F44" i="61"/>
  <c r="Q43" i="61"/>
  <c r="P43" i="61"/>
  <c r="O43" i="61"/>
  <c r="M43" i="61"/>
  <c r="K43" i="61"/>
  <c r="G43" i="61"/>
  <c r="H43" i="61" s="1"/>
  <c r="F43" i="61"/>
  <c r="Q42" i="61"/>
  <c r="P42" i="61"/>
  <c r="O42" i="61"/>
  <c r="M42" i="61"/>
  <c r="K42" i="61"/>
  <c r="G42" i="61"/>
  <c r="H42" i="61" s="1"/>
  <c r="F42" i="61"/>
  <c r="Q41" i="61"/>
  <c r="P41" i="61"/>
  <c r="O41" i="61"/>
  <c r="M41" i="61"/>
  <c r="K41" i="61"/>
  <c r="G41" i="61"/>
  <c r="H41" i="61" s="1"/>
  <c r="F41" i="61"/>
  <c r="Q40" i="61"/>
  <c r="P40" i="61"/>
  <c r="O40" i="61"/>
  <c r="M40" i="61"/>
  <c r="K40" i="61"/>
  <c r="G40" i="61"/>
  <c r="H40" i="61" s="1"/>
  <c r="F40" i="61"/>
  <c r="Q39" i="61"/>
  <c r="P39" i="61"/>
  <c r="O39" i="61"/>
  <c r="M39" i="61"/>
  <c r="K39" i="61"/>
  <c r="G39" i="61"/>
  <c r="H39" i="61" s="1"/>
  <c r="F39" i="61"/>
  <c r="Q38" i="61"/>
  <c r="P38" i="61"/>
  <c r="O38" i="61"/>
  <c r="M38" i="61"/>
  <c r="K38" i="61"/>
  <c r="G38" i="61"/>
  <c r="H38" i="61" s="1"/>
  <c r="F38" i="61"/>
  <c r="Q37" i="61"/>
  <c r="P37" i="61"/>
  <c r="O37" i="61"/>
  <c r="M37" i="61"/>
  <c r="K37" i="61"/>
  <c r="G37" i="61"/>
  <c r="H37" i="61" s="1"/>
  <c r="F37" i="61"/>
  <c r="Q36" i="61"/>
  <c r="P36" i="61"/>
  <c r="O36" i="61"/>
  <c r="M36" i="61"/>
  <c r="K36" i="61"/>
  <c r="G36" i="61"/>
  <c r="H36" i="61" s="1"/>
  <c r="F36" i="61"/>
  <c r="Q35" i="61"/>
  <c r="P35" i="61"/>
  <c r="O35" i="61"/>
  <c r="M35" i="61"/>
  <c r="K35" i="61"/>
  <c r="G35" i="61"/>
  <c r="H35" i="61" s="1"/>
  <c r="F35" i="61"/>
  <c r="Q34" i="61"/>
  <c r="P34" i="61"/>
  <c r="O34" i="61"/>
  <c r="M34" i="61"/>
  <c r="K34" i="61"/>
  <c r="G34" i="61"/>
  <c r="H34" i="61" s="1"/>
  <c r="F34" i="61"/>
  <c r="Q33" i="61"/>
  <c r="P33" i="61"/>
  <c r="O33" i="61"/>
  <c r="M33" i="61"/>
  <c r="K33" i="61"/>
  <c r="G33" i="61"/>
  <c r="H33" i="61" s="1"/>
  <c r="F33" i="61"/>
  <c r="Q32" i="61"/>
  <c r="P32" i="61"/>
  <c r="O32" i="61"/>
  <c r="M32" i="61"/>
  <c r="K32" i="61"/>
  <c r="G32" i="61"/>
  <c r="H32" i="61" s="1"/>
  <c r="F32" i="61"/>
  <c r="Q31" i="61"/>
  <c r="P31" i="61"/>
  <c r="O31" i="61"/>
  <c r="M31" i="61"/>
  <c r="K31" i="61"/>
  <c r="G31" i="61"/>
  <c r="H31" i="61" s="1"/>
  <c r="F31" i="61"/>
  <c r="Q30" i="61"/>
  <c r="P30" i="61"/>
  <c r="O30" i="61"/>
  <c r="M30" i="61"/>
  <c r="K30" i="61"/>
  <c r="G30" i="61"/>
  <c r="H30" i="61" s="1"/>
  <c r="F30" i="61"/>
  <c r="Q29" i="61"/>
  <c r="P29" i="61"/>
  <c r="O29" i="61"/>
  <c r="M29" i="61"/>
  <c r="K29" i="61"/>
  <c r="G29" i="61"/>
  <c r="H29" i="61" s="1"/>
  <c r="F29" i="61"/>
  <c r="Q28" i="61"/>
  <c r="P28" i="61"/>
  <c r="O28" i="61"/>
  <c r="M28" i="61"/>
  <c r="K28" i="61"/>
  <c r="G28" i="61"/>
  <c r="H28" i="61" s="1"/>
  <c r="F28" i="61"/>
  <c r="Q27" i="61"/>
  <c r="P27" i="61"/>
  <c r="O27" i="61"/>
  <c r="M27" i="61"/>
  <c r="K27" i="61"/>
  <c r="G27" i="61"/>
  <c r="H27" i="61" s="1"/>
  <c r="F27" i="61"/>
  <c r="Q26" i="61"/>
  <c r="P26" i="61"/>
  <c r="O26" i="61"/>
  <c r="M26" i="61"/>
  <c r="K26" i="61"/>
  <c r="G26" i="61"/>
  <c r="H26" i="61" s="1"/>
  <c r="F26" i="61"/>
  <c r="Q25" i="61"/>
  <c r="P25" i="61"/>
  <c r="O25" i="61"/>
  <c r="M25" i="61"/>
  <c r="K25" i="61"/>
  <c r="G25" i="61"/>
  <c r="H25" i="61" s="1"/>
  <c r="F25" i="61"/>
  <c r="Q24" i="61"/>
  <c r="P24" i="61"/>
  <c r="O24" i="61"/>
  <c r="M24" i="61"/>
  <c r="K24" i="61"/>
  <c r="G24" i="61"/>
  <c r="H24" i="61" s="1"/>
  <c r="F24" i="61"/>
  <c r="Q23" i="61"/>
  <c r="P23" i="61"/>
  <c r="O23" i="61"/>
  <c r="M23" i="61"/>
  <c r="K23" i="61"/>
  <c r="G23" i="61"/>
  <c r="H23" i="61" s="1"/>
  <c r="F23" i="61"/>
  <c r="Q22" i="61"/>
  <c r="P22" i="61"/>
  <c r="O22" i="61"/>
  <c r="M22" i="61"/>
  <c r="K22" i="61"/>
  <c r="G22" i="61"/>
  <c r="H22" i="61" s="1"/>
  <c r="F22" i="61"/>
  <c r="Q21" i="61"/>
  <c r="P21" i="61"/>
  <c r="O21" i="61"/>
  <c r="M21" i="61"/>
  <c r="K21" i="61"/>
  <c r="G21" i="61"/>
  <c r="H21" i="61" s="1"/>
  <c r="F21" i="61"/>
  <c r="Q20" i="61"/>
  <c r="P20" i="61"/>
  <c r="O20" i="61"/>
  <c r="M20" i="61"/>
  <c r="K20" i="61"/>
  <c r="G20" i="61"/>
  <c r="H20" i="61" s="1"/>
  <c r="F20" i="61"/>
  <c r="Q19" i="61"/>
  <c r="P19" i="61"/>
  <c r="O19" i="61"/>
  <c r="M19" i="61"/>
  <c r="K19" i="61"/>
  <c r="G19" i="61"/>
  <c r="H19" i="61" s="1"/>
  <c r="F19" i="61"/>
  <c r="Q18" i="61"/>
  <c r="P18" i="61"/>
  <c r="O18" i="61"/>
  <c r="M18" i="61"/>
  <c r="K18" i="61"/>
  <c r="G18" i="61"/>
  <c r="H18" i="61" s="1"/>
  <c r="F18" i="61"/>
  <c r="Q17" i="61"/>
  <c r="P17" i="61"/>
  <c r="O17" i="61"/>
  <c r="M17" i="61"/>
  <c r="K17" i="61"/>
  <c r="G17" i="61"/>
  <c r="H17" i="61" s="1"/>
  <c r="F17" i="61"/>
  <c r="Q16" i="61"/>
  <c r="P16" i="61"/>
  <c r="O16" i="61"/>
  <c r="M16" i="61"/>
  <c r="K16" i="61"/>
  <c r="G16" i="61"/>
  <c r="H16" i="61" s="1"/>
  <c r="F16" i="61"/>
  <c r="Q15" i="61"/>
  <c r="P15" i="61"/>
  <c r="O15" i="61"/>
  <c r="M15" i="61"/>
  <c r="K15" i="61"/>
  <c r="G15" i="61"/>
  <c r="H15" i="61" s="1"/>
  <c r="F15" i="61"/>
  <c r="Q14" i="61"/>
  <c r="P14" i="61"/>
  <c r="O14" i="61"/>
  <c r="M14" i="61"/>
  <c r="K14" i="61"/>
  <c r="G14" i="61"/>
  <c r="H14" i="61" s="1"/>
  <c r="F14" i="61"/>
  <c r="Q13" i="61"/>
  <c r="P13" i="61"/>
  <c r="O13" i="61"/>
  <c r="M13" i="61"/>
  <c r="K13" i="61"/>
  <c r="G13" i="61"/>
  <c r="H13" i="61" s="1"/>
  <c r="F13" i="61"/>
  <c r="Q12" i="61"/>
  <c r="P12" i="61"/>
  <c r="O12" i="61"/>
  <c r="M12" i="61"/>
  <c r="K12" i="61"/>
  <c r="G12" i="61"/>
  <c r="H12" i="61" s="1"/>
  <c r="F12" i="61"/>
  <c r="Q11" i="61"/>
  <c r="P11" i="61"/>
  <c r="O11" i="61"/>
  <c r="M11" i="61"/>
  <c r="K11" i="61"/>
  <c r="G11" i="61"/>
  <c r="H11" i="61" s="1"/>
  <c r="F11" i="61"/>
  <c r="Q10" i="61"/>
  <c r="P10" i="61"/>
  <c r="O10" i="61"/>
  <c r="M10" i="61"/>
  <c r="K10" i="61"/>
  <c r="G10" i="61"/>
  <c r="H10" i="61" s="1"/>
  <c r="F10" i="61"/>
  <c r="Q9" i="61"/>
  <c r="P9" i="61"/>
  <c r="O9" i="61"/>
  <c r="M9" i="61"/>
  <c r="K9" i="61"/>
  <c r="G9" i="61"/>
  <c r="H9" i="61" s="1"/>
  <c r="F9" i="61"/>
  <c r="Q8" i="61"/>
  <c r="P8" i="61"/>
  <c r="O8" i="61"/>
  <c r="M8" i="61"/>
  <c r="K8" i="61"/>
  <c r="G8" i="61"/>
  <c r="H8" i="61" s="1"/>
  <c r="F8" i="61"/>
  <c r="Q7" i="61"/>
  <c r="P7" i="61"/>
  <c r="O7" i="61"/>
  <c r="M7" i="61"/>
  <c r="K7" i="61"/>
  <c r="G7" i="61"/>
  <c r="H7" i="61" s="1"/>
  <c r="F7" i="61"/>
  <c r="Q6" i="61"/>
  <c r="P6" i="61"/>
  <c r="O6" i="61"/>
  <c r="M6" i="61"/>
  <c r="K6" i="61"/>
  <c r="G6" i="61"/>
  <c r="H6" i="61" s="1"/>
  <c r="F6" i="61"/>
  <c r="Q5" i="61"/>
  <c r="P5" i="61"/>
  <c r="P52" i="61" s="1"/>
  <c r="O5" i="61"/>
  <c r="M5" i="61"/>
  <c r="K5" i="61"/>
  <c r="G5" i="61"/>
  <c r="H5" i="61" s="1"/>
  <c r="F5" i="61"/>
  <c r="F52" i="61" s="1"/>
  <c r="G52" i="61" s="1"/>
  <c r="M56" i="60" l="1"/>
  <c r="N56" i="60" s="1"/>
  <c r="L56" i="60"/>
  <c r="K56" i="60"/>
  <c r="H56" i="60"/>
  <c r="E56" i="60"/>
  <c r="M54" i="60"/>
  <c r="N54" i="60" s="1"/>
  <c r="L54" i="60"/>
  <c r="K54" i="60"/>
  <c r="H54" i="60"/>
  <c r="E54" i="60"/>
  <c r="M52" i="60"/>
  <c r="N52" i="60" s="1"/>
  <c r="L52" i="60"/>
  <c r="K52" i="60"/>
  <c r="H52" i="60"/>
  <c r="E52" i="60"/>
  <c r="M51" i="60"/>
  <c r="N51" i="60" s="1"/>
  <c r="L51" i="60"/>
  <c r="K51" i="60"/>
  <c r="H51" i="60"/>
  <c r="E51" i="60"/>
  <c r="M49" i="60"/>
  <c r="N49" i="60" s="1"/>
  <c r="L49" i="60"/>
  <c r="K49" i="60"/>
  <c r="H49" i="60"/>
  <c r="E49" i="60"/>
  <c r="L48" i="60"/>
  <c r="L47" i="60"/>
  <c r="M46" i="60"/>
  <c r="N46" i="60" s="1"/>
  <c r="L46" i="60"/>
  <c r="K46" i="60"/>
  <c r="H46" i="60"/>
  <c r="E46" i="60"/>
  <c r="M45" i="60"/>
  <c r="N45" i="60" s="1"/>
  <c r="L45" i="60"/>
  <c r="K45" i="60"/>
  <c r="H45" i="60"/>
  <c r="E45" i="60"/>
  <c r="M44" i="60"/>
  <c r="N44" i="60" s="1"/>
  <c r="L44" i="60"/>
  <c r="K44" i="60"/>
  <c r="H44" i="60"/>
  <c r="E44" i="60"/>
  <c r="M43" i="60"/>
  <c r="N43" i="60" s="1"/>
  <c r="L43" i="60"/>
  <c r="K43" i="60"/>
  <c r="H43" i="60"/>
  <c r="E43" i="60"/>
  <c r="M42" i="60"/>
  <c r="N42" i="60" s="1"/>
  <c r="L42" i="60"/>
  <c r="K42" i="60"/>
  <c r="H42" i="60"/>
  <c r="E42" i="60"/>
  <c r="M41" i="60"/>
  <c r="N41" i="60" s="1"/>
  <c r="L41" i="60"/>
  <c r="K41" i="60"/>
  <c r="H41" i="60"/>
  <c r="E41" i="60"/>
  <c r="M40" i="60"/>
  <c r="N40" i="60" s="1"/>
  <c r="L40" i="60"/>
  <c r="K40" i="60"/>
  <c r="H40" i="60"/>
  <c r="E40" i="60"/>
  <c r="M39" i="60"/>
  <c r="N39" i="60" s="1"/>
  <c r="L39" i="60"/>
  <c r="K39" i="60"/>
  <c r="H39" i="60"/>
  <c r="E39" i="60"/>
  <c r="M38" i="60"/>
  <c r="N38" i="60" s="1"/>
  <c r="L38" i="60"/>
  <c r="K38" i="60"/>
  <c r="H38" i="60"/>
  <c r="E38" i="60"/>
  <c r="M37" i="60"/>
  <c r="N37" i="60" s="1"/>
  <c r="L37" i="60"/>
  <c r="K37" i="60"/>
  <c r="H37" i="60"/>
  <c r="E37" i="60"/>
  <c r="M36" i="60"/>
  <c r="N36" i="60" s="1"/>
  <c r="L36" i="60"/>
  <c r="K36" i="60"/>
  <c r="H36" i="60"/>
  <c r="E36" i="60"/>
  <c r="M35" i="60"/>
  <c r="N35" i="60" s="1"/>
  <c r="L35" i="60"/>
  <c r="K35" i="60"/>
  <c r="H35" i="60"/>
  <c r="E35" i="60"/>
  <c r="M34" i="60"/>
  <c r="N34" i="60" s="1"/>
  <c r="L34" i="60"/>
  <c r="K34" i="60"/>
  <c r="H34" i="60"/>
  <c r="E34" i="60"/>
  <c r="M33" i="60"/>
  <c r="N33" i="60" s="1"/>
  <c r="L33" i="60"/>
  <c r="K33" i="60"/>
  <c r="H33" i="60"/>
  <c r="E33" i="60"/>
  <c r="M32" i="60"/>
  <c r="N32" i="60" s="1"/>
  <c r="L32" i="60"/>
  <c r="K32" i="60"/>
  <c r="H32" i="60"/>
  <c r="E32" i="60"/>
  <c r="M31" i="60"/>
  <c r="N31" i="60" s="1"/>
  <c r="L31" i="60"/>
  <c r="K31" i="60"/>
  <c r="H31" i="60"/>
  <c r="E31" i="60"/>
  <c r="M30" i="60"/>
  <c r="N30" i="60" s="1"/>
  <c r="L30" i="60"/>
  <c r="K30" i="60"/>
  <c r="H30" i="60"/>
  <c r="E30" i="60"/>
  <c r="M29" i="60"/>
  <c r="N29" i="60" s="1"/>
  <c r="L29" i="60"/>
  <c r="K29" i="60"/>
  <c r="H29" i="60"/>
  <c r="E29" i="60"/>
  <c r="M28" i="60"/>
  <c r="N28" i="60" s="1"/>
  <c r="L28" i="60"/>
  <c r="K28" i="60"/>
  <c r="H28" i="60"/>
  <c r="E28" i="60"/>
  <c r="M27" i="60"/>
  <c r="N27" i="60" s="1"/>
  <c r="L27" i="60"/>
  <c r="K27" i="60"/>
  <c r="H27" i="60"/>
  <c r="E27" i="60"/>
  <c r="M26" i="60"/>
  <c r="N26" i="60" s="1"/>
  <c r="L26" i="60"/>
  <c r="K26" i="60"/>
  <c r="H26" i="60"/>
  <c r="E26" i="60"/>
  <c r="M25" i="60"/>
  <c r="N25" i="60" s="1"/>
  <c r="L25" i="60"/>
  <c r="K25" i="60"/>
  <c r="H25" i="60"/>
  <c r="E25" i="60"/>
  <c r="M24" i="60"/>
  <c r="N24" i="60" s="1"/>
  <c r="L24" i="60"/>
  <c r="K24" i="60"/>
  <c r="H24" i="60"/>
  <c r="E24" i="60"/>
  <c r="M23" i="60"/>
  <c r="N23" i="60" s="1"/>
  <c r="L23" i="60"/>
  <c r="K23" i="60"/>
  <c r="H23" i="60"/>
  <c r="E23" i="60"/>
  <c r="M22" i="60"/>
  <c r="N22" i="60" s="1"/>
  <c r="L22" i="60"/>
  <c r="K22" i="60"/>
  <c r="H22" i="60"/>
  <c r="E22" i="60"/>
  <c r="M21" i="60"/>
  <c r="N21" i="60" s="1"/>
  <c r="L21" i="60"/>
  <c r="K21" i="60"/>
  <c r="H21" i="60"/>
  <c r="E21" i="60"/>
  <c r="M20" i="60"/>
  <c r="N20" i="60" s="1"/>
  <c r="L20" i="60"/>
  <c r="K20" i="60"/>
  <c r="H20" i="60"/>
  <c r="E20" i="60"/>
  <c r="M19" i="60"/>
  <c r="N19" i="60" s="1"/>
  <c r="L19" i="60"/>
  <c r="K19" i="60"/>
  <c r="H19" i="60"/>
  <c r="E19" i="60"/>
  <c r="M18" i="60"/>
  <c r="N18" i="60" s="1"/>
  <c r="L18" i="60"/>
  <c r="K18" i="60"/>
  <c r="H18" i="60"/>
  <c r="E18" i="60"/>
  <c r="M17" i="60"/>
  <c r="N17" i="60" s="1"/>
  <c r="L17" i="60"/>
  <c r="K17" i="60"/>
  <c r="H17" i="60"/>
  <c r="E17" i="60"/>
  <c r="M16" i="60"/>
  <c r="N16" i="60" s="1"/>
  <c r="L16" i="60"/>
  <c r="K16" i="60"/>
  <c r="H16" i="60"/>
  <c r="E16" i="60"/>
  <c r="M15" i="60"/>
  <c r="N15" i="60" s="1"/>
  <c r="L15" i="60"/>
  <c r="K15" i="60"/>
  <c r="H15" i="60"/>
  <c r="E15" i="60"/>
  <c r="M14" i="60"/>
  <c r="N14" i="60" s="1"/>
  <c r="L14" i="60"/>
  <c r="K14" i="60"/>
  <c r="H14" i="60"/>
  <c r="E14" i="60"/>
  <c r="M13" i="60"/>
  <c r="N13" i="60" s="1"/>
  <c r="L13" i="60"/>
  <c r="K13" i="60"/>
  <c r="H13" i="60"/>
  <c r="E13" i="60"/>
  <c r="M12" i="60"/>
  <c r="N12" i="60" s="1"/>
  <c r="L12" i="60"/>
  <c r="K12" i="60"/>
  <c r="H12" i="60"/>
  <c r="E12" i="60"/>
  <c r="M11" i="60"/>
  <c r="N11" i="60" s="1"/>
  <c r="L11" i="60"/>
  <c r="K11" i="60"/>
  <c r="H11" i="60"/>
  <c r="E11" i="60"/>
  <c r="M10" i="60"/>
  <c r="N10" i="60" s="1"/>
  <c r="L10" i="60"/>
  <c r="K10" i="60"/>
  <c r="H10" i="60"/>
  <c r="E10" i="60"/>
  <c r="M9" i="60"/>
  <c r="N9" i="60" s="1"/>
  <c r="L9" i="60"/>
  <c r="K9" i="60"/>
  <c r="H9" i="60"/>
  <c r="E9" i="60"/>
  <c r="M8" i="60"/>
  <c r="N8" i="60" s="1"/>
  <c r="L8" i="60"/>
  <c r="K8" i="60"/>
  <c r="H8" i="60"/>
  <c r="E8" i="60"/>
  <c r="M7" i="60"/>
  <c r="N7" i="60" s="1"/>
  <c r="L7" i="60"/>
  <c r="K7" i="60"/>
  <c r="H7" i="60"/>
  <c r="E7" i="60"/>
  <c r="M6" i="60"/>
  <c r="N6" i="60" s="1"/>
  <c r="L6" i="60"/>
  <c r="K6" i="60"/>
  <c r="H6" i="60"/>
  <c r="E6" i="60"/>
  <c r="M5" i="60"/>
  <c r="N5" i="60" s="1"/>
  <c r="L5" i="60"/>
  <c r="K5" i="60"/>
  <c r="H5" i="60"/>
  <c r="E5" i="60"/>
  <c r="I70" i="58" l="1"/>
  <c r="I69" i="58"/>
  <c r="I68" i="58"/>
  <c r="G68" i="58"/>
  <c r="F68" i="58"/>
  <c r="E68" i="58"/>
  <c r="I67" i="58"/>
  <c r="I66" i="58"/>
  <c r="I65" i="58"/>
  <c r="F64" i="58"/>
  <c r="E64" i="58"/>
  <c r="I63" i="58"/>
  <c r="I62" i="58"/>
  <c r="I61" i="58"/>
  <c r="I64" i="58" s="1"/>
  <c r="G60" i="58"/>
  <c r="F60" i="58"/>
  <c r="E60" i="58"/>
  <c r="G58" i="58"/>
  <c r="I57" i="58"/>
  <c r="I59" i="58" s="1"/>
  <c r="G57" i="58"/>
  <c r="G59" i="58" s="1"/>
  <c r="I56" i="58"/>
  <c r="I58" i="58" s="1"/>
  <c r="G55" i="58"/>
  <c r="F55" i="58"/>
  <c r="E55" i="58"/>
  <c r="I54" i="58"/>
  <c r="I55" i="58" s="1"/>
  <c r="G53" i="58"/>
  <c r="F53" i="58"/>
  <c r="E53" i="58"/>
  <c r="I52" i="58"/>
  <c r="I53" i="58" s="1"/>
  <c r="I51" i="58"/>
  <c r="I49" i="58"/>
  <c r="G48" i="58"/>
  <c r="F48" i="58"/>
  <c r="E48" i="58"/>
  <c r="I48" i="58" s="1"/>
  <c r="I33" i="58"/>
  <c r="G32" i="58"/>
  <c r="G23" i="58" s="1"/>
  <c r="F32" i="58"/>
  <c r="E32" i="58"/>
  <c r="I32" i="58" s="1"/>
  <c r="I31" i="58"/>
  <c r="I30" i="58"/>
  <c r="I29" i="58"/>
  <c r="I28" i="58"/>
  <c r="G27" i="58"/>
  <c r="F27" i="58"/>
  <c r="I27" i="58" s="1"/>
  <c r="E27" i="58"/>
  <c r="I26" i="58"/>
  <c r="I25" i="58"/>
  <c r="I24" i="58"/>
  <c r="F23" i="58"/>
  <c r="I22" i="58"/>
  <c r="I20" i="58"/>
  <c r="H20" i="58"/>
  <c r="I19" i="58"/>
  <c r="I21" i="58" s="1"/>
  <c r="G18" i="58"/>
  <c r="F18" i="58"/>
  <c r="E18" i="58"/>
  <c r="I17" i="58"/>
  <c r="I18" i="58" s="1"/>
  <c r="G16" i="58"/>
  <c r="F16" i="58"/>
  <c r="E16" i="58"/>
  <c r="I15" i="58"/>
  <c r="I16" i="58" s="1"/>
  <c r="I14" i="58"/>
  <c r="H14" i="58"/>
  <c r="H17" i="58" s="1"/>
  <c r="I13" i="58"/>
  <c r="I12" i="58"/>
  <c r="G11" i="58"/>
  <c r="F11" i="58"/>
  <c r="E11" i="58"/>
  <c r="I11" i="58" s="1"/>
  <c r="J27" i="58" l="1"/>
  <c r="I23" i="58"/>
  <c r="J28" i="58"/>
  <c r="J30" i="58"/>
  <c r="J32" i="58"/>
  <c r="I60" i="58"/>
  <c r="J29" i="58"/>
  <c r="J31" i="58"/>
  <c r="J68" i="58"/>
  <c r="H15" i="58"/>
  <c r="E23" i="58"/>
  <c r="J67" i="58" l="1"/>
  <c r="J66" i="58"/>
  <c r="J65" i="58"/>
  <c r="J63" i="58"/>
  <c r="J62" i="58"/>
  <c r="J61" i="58"/>
  <c r="J69" i="58"/>
  <c r="J64" i="58"/>
  <c r="J26" i="58"/>
  <c r="J25" i="58"/>
  <c r="J24" i="58"/>
  <c r="H16" i="10" l="1"/>
  <c r="G16" i="10"/>
  <c r="F16" i="10"/>
  <c r="E16" i="10"/>
  <c r="D16" i="10"/>
  <c r="C16" i="10"/>
  <c r="B16" i="10"/>
  <c r="I16" i="10" s="1"/>
  <c r="I15" i="10"/>
  <c r="H15" i="10"/>
  <c r="H5" i="10" s="1"/>
  <c r="H7" i="10" s="1"/>
  <c r="G15" i="10"/>
  <c r="F15" i="10"/>
  <c r="F5" i="10" s="1"/>
  <c r="E15" i="10"/>
  <c r="D15" i="10"/>
  <c r="D5" i="10" s="1"/>
  <c r="C15" i="10"/>
  <c r="B15" i="10"/>
  <c r="B5" i="10" s="1"/>
  <c r="H13" i="10"/>
  <c r="G13" i="10"/>
  <c r="F13" i="10"/>
  <c r="E13" i="10"/>
  <c r="D13" i="10"/>
  <c r="C13" i="10"/>
  <c r="B13" i="10"/>
  <c r="I12" i="10"/>
  <c r="H12" i="10"/>
  <c r="G12" i="10"/>
  <c r="G4" i="10" s="1"/>
  <c r="F12" i="10"/>
  <c r="F4" i="10" s="1"/>
  <c r="E12" i="10"/>
  <c r="D12" i="10"/>
  <c r="C12" i="10"/>
  <c r="C4" i="10" s="1"/>
  <c r="C7" i="10" s="1"/>
  <c r="B12" i="10"/>
  <c r="B4" i="10" s="1"/>
  <c r="G5" i="10"/>
  <c r="E5" i="10"/>
  <c r="C5" i="10"/>
  <c r="E4" i="10"/>
  <c r="D4" i="10"/>
  <c r="F13" i="9"/>
  <c r="D5" i="9" s="1"/>
  <c r="F12" i="9"/>
  <c r="E4" i="9" s="1"/>
  <c r="B11" i="9"/>
  <c r="F11" i="9" s="1"/>
  <c r="C5" i="9"/>
  <c r="C21" i="8"/>
  <c r="C20" i="8"/>
  <c r="C19" i="8"/>
  <c r="C18" i="8"/>
  <c r="C17" i="8"/>
  <c r="C16" i="8"/>
  <c r="C15" i="8"/>
  <c r="C14" i="8"/>
  <c r="F13" i="8"/>
  <c r="F10" i="8" s="1"/>
  <c r="E13" i="8"/>
  <c r="E8" i="8" s="1"/>
  <c r="D13" i="8"/>
  <c r="D10" i="8" s="1"/>
  <c r="E10" i="8"/>
  <c r="B10" i="8"/>
  <c r="F9" i="8"/>
  <c r="E9" i="8"/>
  <c r="D9" i="8"/>
  <c r="B9" i="8"/>
  <c r="F8" i="8"/>
  <c r="B8" i="8"/>
  <c r="D7" i="8"/>
  <c r="B7" i="8"/>
  <c r="F6" i="8"/>
  <c r="B6" i="8"/>
  <c r="E5" i="8"/>
  <c r="B5" i="8"/>
  <c r="D4" i="8"/>
  <c r="B4" i="8"/>
  <c r="F3" i="8"/>
  <c r="E3" i="8"/>
  <c r="D3" i="8"/>
  <c r="B3" i="8"/>
  <c r="D60" i="7"/>
  <c r="D59" i="7"/>
  <c r="D58" i="7"/>
  <c r="D57" i="7"/>
  <c r="D53" i="7"/>
  <c r="D52" i="7"/>
  <c r="D51" i="7"/>
  <c r="D50" i="7"/>
  <c r="D49" i="7"/>
  <c r="D48" i="7"/>
  <c r="D47" i="7"/>
  <c r="D46" i="7"/>
  <c r="D45" i="7"/>
  <c r="D44" i="7"/>
  <c r="D43" i="7"/>
  <c r="D42" i="7"/>
  <c r="D41" i="7"/>
  <c r="D40" i="7"/>
  <c r="D39" i="7"/>
  <c r="D38" i="7"/>
  <c r="D37" i="7"/>
  <c r="D36" i="7"/>
  <c r="D35" i="7"/>
  <c r="D34" i="7"/>
  <c r="D33" i="7"/>
  <c r="D32" i="7"/>
  <c r="D31" i="7"/>
  <c r="D30" i="7"/>
  <c r="D29" i="7"/>
  <c r="D28" i="7"/>
  <c r="D27" i="7"/>
  <c r="D26" i="7"/>
  <c r="D25" i="7"/>
  <c r="D24" i="7"/>
  <c r="D23" i="7"/>
  <c r="D22" i="7"/>
  <c r="D21" i="7"/>
  <c r="D20" i="7"/>
  <c r="D19" i="7"/>
  <c r="D18" i="7"/>
  <c r="D17" i="7"/>
  <c r="D16" i="7"/>
  <c r="D15" i="7"/>
  <c r="D14" i="7"/>
  <c r="D13" i="7"/>
  <c r="D12" i="7"/>
  <c r="D11" i="7"/>
  <c r="D10" i="7"/>
  <c r="D9" i="7"/>
  <c r="D8" i="7"/>
  <c r="D7" i="7"/>
  <c r="L56" i="6"/>
  <c r="K56" i="6"/>
  <c r="J56" i="6"/>
  <c r="I55" i="6"/>
  <c r="N55" i="6" s="1"/>
  <c r="E50" i="6"/>
  <c r="E49" i="6"/>
  <c r="E48" i="6"/>
  <c r="E47" i="6"/>
  <c r="E43" i="6"/>
  <c r="E42" i="6"/>
  <c r="E41" i="6"/>
  <c r="E40" i="6"/>
  <c r="E39" i="6"/>
  <c r="E38" i="6"/>
  <c r="E37" i="6"/>
  <c r="E36" i="6"/>
  <c r="E35" i="6"/>
  <c r="E34" i="6"/>
  <c r="F4" i="8" l="1"/>
  <c r="D5" i="8"/>
  <c r="F5" i="8"/>
  <c r="D6" i="8"/>
  <c r="F7" i="8"/>
  <c r="D8" i="8"/>
  <c r="C22" i="8"/>
  <c r="C5" i="8" s="1"/>
  <c r="B5" i="9"/>
  <c r="F5" i="9" s="1"/>
  <c r="E5" i="9"/>
  <c r="F7" i="10"/>
  <c r="I13" i="10"/>
  <c r="E7" i="10"/>
  <c r="G7" i="10"/>
  <c r="I5" i="10"/>
  <c r="E3" i="9"/>
  <c r="D3" i="9"/>
  <c r="C3" i="9"/>
  <c r="B7" i="10"/>
  <c r="I4" i="10"/>
  <c r="C9" i="8"/>
  <c r="D7" i="10"/>
  <c r="C8" i="8"/>
  <c r="C3" i="8"/>
  <c r="C4" i="8"/>
  <c r="M55" i="6"/>
  <c r="M56" i="6" s="1"/>
  <c r="E7" i="8"/>
  <c r="C13" i="8"/>
  <c r="E4" i="8"/>
  <c r="B4" i="9"/>
  <c r="E6" i="8"/>
  <c r="C4" i="9"/>
  <c r="D4" i="9"/>
  <c r="B3" i="9"/>
  <c r="C6" i="8" l="1"/>
  <c r="C7" i="8"/>
  <c r="D8" i="10"/>
  <c r="I7" i="10"/>
  <c r="B8" i="10"/>
  <c r="F4" i="9"/>
  <c r="F3" i="9"/>
  <c r="H8" i="10" l="1"/>
  <c r="C8" i="10"/>
  <c r="G8" i="10"/>
  <c r="F8" i="10"/>
  <c r="E8"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H12" authorId="0" shapeId="0" xr:uid="{839AF0ED-A372-4289-857B-4E9E07696228}">
      <text>
        <r>
          <rPr>
            <b/>
            <sz val="9"/>
            <color indexed="81"/>
            <rFont val="ＭＳ Ｐゴシック"/>
            <family val="3"/>
            <charset val="128"/>
          </rPr>
          <t>自己水源のみ</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E14" authorId="0" shapeId="0" xr:uid="{98177A09-C556-4104-B502-B350EC693559}">
      <text>
        <r>
          <rPr>
            <b/>
            <sz val="9"/>
            <color indexed="81"/>
            <rFont val="MS P ゴシック"/>
            <family val="3"/>
            <charset val="128"/>
          </rPr>
          <t>値不明のため「-」</t>
        </r>
      </text>
    </comment>
    <comment ref="E28" authorId="0" shapeId="0" xr:uid="{28A414C6-95EE-4860-8CB8-DC51B324B38D}">
      <text>
        <r>
          <rPr>
            <b/>
            <sz val="9"/>
            <color indexed="81"/>
            <rFont val="MS P ゴシック"/>
            <family val="3"/>
            <charset val="128"/>
          </rPr>
          <t>値不明のため「-」</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8D8ECA9-9E7F-453C-B849-E972C072116A}" name="Export11" type="6" refreshedVersion="2" background="1" saveData="1">
    <textPr sourceFile="C:\Documents and Settings\N1320014\デスクトップ\Export.txt" comma="1">
      <textFields count="12">
        <textField/>
        <textField/>
        <textField/>
        <textField/>
        <textField/>
        <textField/>
        <textField/>
        <textField/>
        <textField/>
        <textField/>
        <textField/>
        <textField/>
      </textFields>
    </textPr>
  </connection>
  <connection id="2" xr16:uid="{FEF04349-18E7-4CFE-BC98-CDE852845984}" name="Export1111" type="6" refreshedVersion="2" background="1" saveData="1">
    <textPr codePage="869" sourceFile="C:\Documents and Settings\N1320014\デスクトップ\Export.txt" comma="1">
      <textFields count="12">
        <textField/>
        <textField/>
        <textField/>
        <textField/>
        <textField/>
        <textField/>
        <textField/>
        <textField/>
        <textField/>
        <textField/>
        <textField/>
        <textField/>
      </textFields>
    </textPr>
  </connection>
  <connection id="3" xr16:uid="{513AB67F-DE93-47B3-B82C-F1FBD2E1E4E2}" name="Export2111" type="6" refreshedVersion="2" background="1" saveData="1">
    <textPr codePage="869" sourceFile="C:\Documents and Settings\N1320014\デスクトップ\Export.txt" comma="1">
      <textFields count="12">
        <textField/>
        <textField/>
        <textField/>
        <textField/>
        <textField/>
        <textField/>
        <textField/>
        <textField/>
        <textField/>
        <textField/>
        <textField/>
        <textField/>
      </textFields>
    </textPr>
  </connection>
  <connection id="4" xr16:uid="{F60B0312-0AB1-4F1A-9845-C0A9315BF1B0}" name="Export3111" type="6" refreshedVersion="2" background="1" saveData="1">
    <textPr codePage="869" sourceFile="C:\Documents and Settings\N1320014\デスクトップ\Export.txt" comma="1">
      <textFields count="12">
        <textField/>
        <textField/>
        <textField/>
        <textField/>
        <textField/>
        <textField/>
        <textField/>
        <textField/>
        <textField/>
        <textField/>
        <textField/>
        <textField/>
      </textFields>
    </textPr>
  </connection>
  <connection id="5" xr16:uid="{1342DFB4-6E60-41DB-BF1F-94CF67989D6D}" name="Export411" type="6" refreshedVersion="2" background="1" saveData="1">
    <textPr codePage="869" sourceFile="C:\Documents and Settings\N1320014\デスクトップ\Export.txt" comma="1">
      <textFields count="12">
        <textField/>
        <textField/>
        <textField/>
        <textField/>
        <textField/>
        <textField/>
        <textField/>
        <textField/>
        <textField/>
        <textField/>
        <textField/>
        <textField/>
      </textFields>
    </textPr>
  </connection>
</connections>
</file>

<file path=xl/sharedStrings.xml><?xml version="1.0" encoding="utf-8"?>
<sst xmlns="http://schemas.openxmlformats.org/spreadsheetml/2006/main" count="6465" uniqueCount="2470">
  <si>
    <t>Ｋ形継手等を地盤条件の良い箇所に埋設する場合、その耐震性の評価は水道事業者の判断に委ねられている。</t>
    <rPh sb="36" eb="37">
      <t>シャ</t>
    </rPh>
    <phoneticPr fontId="6"/>
  </si>
  <si>
    <t>エ．ステンレス管〔耐震型継手〕</t>
    <rPh sb="9" eb="11">
      <t>タイシン</t>
    </rPh>
    <rPh sb="11" eb="12">
      <t>ガタ</t>
    </rPh>
    <rPh sb="12" eb="13">
      <t>ツギ</t>
    </rPh>
    <rPh sb="13" eb="14">
      <t>テ</t>
    </rPh>
    <phoneticPr fontId="6"/>
  </si>
  <si>
    <t>耐震型継手を有するダクタイル鋳鉄管、鋼管、水道配水用ポリエチレン管（高密度）及びステンレス管</t>
    <rPh sb="38" eb="39">
      <t>オヨ</t>
    </rPh>
    <rPh sb="45" eb="46">
      <t>カン</t>
    </rPh>
    <phoneticPr fontId="6"/>
  </si>
  <si>
    <t>給水原価　＝　（総費用－受託工事費-長期前受金戻入額）／年間有収水量</t>
    <rPh sb="18" eb="20">
      <t>チョウキ</t>
    </rPh>
    <rPh sb="20" eb="22">
      <t>マエウ</t>
    </rPh>
    <rPh sb="22" eb="23">
      <t>キン</t>
    </rPh>
    <rPh sb="23" eb="25">
      <t>レイニュウ</t>
    </rPh>
    <rPh sb="25" eb="26">
      <t>ガク</t>
    </rPh>
    <phoneticPr fontId="6"/>
  </si>
  <si>
    <t>（１）施設の重要度</t>
    <rPh sb="3" eb="5">
      <t>シセツ</t>
    </rPh>
    <rPh sb="6" eb="9">
      <t>ジュウヨウド</t>
    </rPh>
    <phoneticPr fontId="6"/>
  </si>
  <si>
    <t>浄水場</t>
    <rPh sb="0" eb="3">
      <t>ジョウスイジョウ</t>
    </rPh>
    <phoneticPr fontId="6"/>
  </si>
  <si>
    <t>配水池</t>
    <rPh sb="0" eb="3">
      <t>ハイスイチ</t>
    </rPh>
    <phoneticPr fontId="6"/>
  </si>
  <si>
    <t>○施設の重要度と有するべき耐震性能基準（水道施設の水道施設の技術的基準を定める省令）</t>
    <rPh sb="1" eb="3">
      <t>シセツ</t>
    </rPh>
    <rPh sb="4" eb="7">
      <t>ジュウヨウド</t>
    </rPh>
    <rPh sb="8" eb="9">
      <t>ユウ</t>
    </rPh>
    <rPh sb="13" eb="15">
      <t>タイシン</t>
    </rPh>
    <rPh sb="15" eb="17">
      <t>セイノウ</t>
    </rPh>
    <rPh sb="17" eb="19">
      <t>キジュン</t>
    </rPh>
    <phoneticPr fontId="6"/>
  </si>
  <si>
    <t>レベル１地震動(L1)に対して</t>
    <rPh sb="4" eb="7">
      <t>ジシンドウ</t>
    </rPh>
    <rPh sb="12" eb="13">
      <t>タイ</t>
    </rPh>
    <phoneticPr fontId="6"/>
  </si>
  <si>
    <t>レベル２地震動(L2)に対して</t>
    <rPh sb="4" eb="7">
      <t>ジシンドウ</t>
    </rPh>
    <rPh sb="12" eb="13">
      <t>タイ</t>
    </rPh>
    <phoneticPr fontId="6"/>
  </si>
  <si>
    <t>施設の設計能力を損なわない</t>
    <rPh sb="0" eb="2">
      <t>シセツ</t>
    </rPh>
    <rPh sb="3" eb="5">
      <t>セッケイ</t>
    </rPh>
    <rPh sb="5" eb="7">
      <t>ノウリョク</t>
    </rPh>
    <rPh sb="8" eb="9">
      <t>ソコ</t>
    </rPh>
    <phoneticPr fontId="6"/>
  </si>
  <si>
    <t>一定の機能低下をきたしても、
速やかに機能回復できる</t>
    <rPh sb="0" eb="2">
      <t>イッテイ</t>
    </rPh>
    <rPh sb="3" eb="5">
      <t>キノウ</t>
    </rPh>
    <rPh sb="5" eb="7">
      <t>テイカ</t>
    </rPh>
    <rPh sb="15" eb="16">
      <t>スミ</t>
    </rPh>
    <rPh sb="19" eb="21">
      <t>キノウ</t>
    </rPh>
    <rPh sb="21" eb="23">
      <t>カイフク</t>
    </rPh>
    <phoneticPr fontId="6"/>
  </si>
  <si>
    <t>－</t>
  </si>
  <si>
    <t>１０．施設の耐震化</t>
    <rPh sb="3" eb="5">
      <t>シセツ</t>
    </rPh>
    <rPh sb="6" eb="9">
      <t>タイシンカ</t>
    </rPh>
    <phoneticPr fontId="6"/>
  </si>
  <si>
    <t>ランクA　　重要度の高い施設（すべての浄水場）</t>
    <rPh sb="6" eb="9">
      <t>ジュウヨウド</t>
    </rPh>
    <rPh sb="10" eb="11">
      <t>タカ</t>
    </rPh>
    <rPh sb="12" eb="14">
      <t>シセツ</t>
    </rPh>
    <rPh sb="19" eb="22">
      <t>ジョウスイジョウ</t>
    </rPh>
    <phoneticPr fontId="6"/>
  </si>
  <si>
    <t>ランクA　　配水本管に直接接続する施設</t>
    <rPh sb="6" eb="8">
      <t>ハイスイ</t>
    </rPh>
    <rPh sb="8" eb="9">
      <t>ホン</t>
    </rPh>
    <rPh sb="9" eb="10">
      <t>カン</t>
    </rPh>
    <rPh sb="11" eb="13">
      <t>チョクセツ</t>
    </rPh>
    <rPh sb="13" eb="15">
      <t>セツゾク</t>
    </rPh>
    <rPh sb="17" eb="19">
      <t>シセツ</t>
    </rPh>
    <phoneticPr fontId="6"/>
  </si>
  <si>
    <t>ランクB　　配水本管に直接接続していない施設</t>
    <rPh sb="6" eb="8">
      <t>ハイスイ</t>
    </rPh>
    <rPh sb="8" eb="9">
      <t>ホン</t>
    </rPh>
    <rPh sb="9" eb="10">
      <t>カン</t>
    </rPh>
    <rPh sb="11" eb="13">
      <t>チョクセツ</t>
    </rPh>
    <rPh sb="13" eb="15">
      <t>セツゾク</t>
    </rPh>
    <rPh sb="20" eb="22">
      <t>シセツ</t>
    </rPh>
    <phoneticPr fontId="6"/>
  </si>
  <si>
    <t>レベル１地震動　　　施設の供用期間中に１～２回発生するレベルの地震動</t>
    <rPh sb="4" eb="7">
      <t>ジシンドウ</t>
    </rPh>
    <phoneticPr fontId="6"/>
  </si>
  <si>
    <t>レベル２地震動　　　想定される最大規模の地震動</t>
    <rPh sb="4" eb="7">
      <t>ジシンドウ</t>
    </rPh>
    <rPh sb="10" eb="12">
      <t>ソウテイ</t>
    </rPh>
    <rPh sb="15" eb="17">
      <t>サイダイ</t>
    </rPh>
    <rPh sb="17" eb="19">
      <t>キボ</t>
    </rPh>
    <rPh sb="20" eb="23">
      <t>ジシンドウ</t>
    </rPh>
    <phoneticPr fontId="6"/>
  </si>
  <si>
    <t>有効水量　＝　有収水量＋無収水量</t>
  </si>
  <si>
    <t>料金徴収の基礎となった水量（メータによる実使用水量等）</t>
  </si>
  <si>
    <t>管洗浄用、公衆便所用、公衆飲料用及び消火用の水量等</t>
  </si>
  <si>
    <t>配水管及びメータ上流の給水管の漏水量等</t>
  </si>
  <si>
    <t>（２）対応済みの判断　　下表の塗りつぶし部分に該当した場合を対応済みとする。</t>
    <rPh sb="3" eb="5">
      <t>タイオウ</t>
    </rPh>
    <rPh sb="5" eb="6">
      <t>ズ</t>
    </rPh>
    <rPh sb="8" eb="10">
      <t>ハンダン</t>
    </rPh>
    <rPh sb="12" eb="14">
      <t>カヒョウ</t>
    </rPh>
    <rPh sb="15" eb="16">
      <t>ヌ</t>
    </rPh>
    <rPh sb="20" eb="22">
      <t>ブブン</t>
    </rPh>
    <rPh sb="23" eb="25">
      <t>ガイトウ</t>
    </rPh>
    <rPh sb="27" eb="29">
      <t>バアイ</t>
    </rPh>
    <rPh sb="30" eb="32">
      <t>タイオウ</t>
    </rPh>
    <rPh sb="32" eb="33">
      <t>ズ</t>
    </rPh>
    <phoneticPr fontId="6"/>
  </si>
  <si>
    <t>上水道の配水池の総有効容量について、「１３．取水量、浄水量及び配水池容量等」と「１９．施設耐震化状況及び災害時確保水量」で数値が異なっているが、国の水道統計調査でも整合が図られていないため、そのまま掲載することとする。</t>
    <rPh sb="0" eb="3">
      <t>ジョウスイドウ</t>
    </rPh>
    <rPh sb="4" eb="7">
      <t>ハイスイチ</t>
    </rPh>
    <rPh sb="8" eb="9">
      <t>ソウ</t>
    </rPh>
    <rPh sb="9" eb="11">
      <t>ユウコウ</t>
    </rPh>
    <rPh sb="11" eb="13">
      <t>ヨウリョウ</t>
    </rPh>
    <rPh sb="22" eb="24">
      <t>シュスイ</t>
    </rPh>
    <rPh sb="24" eb="25">
      <t>リョウ</t>
    </rPh>
    <rPh sb="26" eb="28">
      <t>ジョウスイ</t>
    </rPh>
    <rPh sb="28" eb="29">
      <t>リョウ</t>
    </rPh>
    <rPh sb="29" eb="30">
      <t>オヨ</t>
    </rPh>
    <rPh sb="31" eb="34">
      <t>ハイスイチ</t>
    </rPh>
    <rPh sb="34" eb="36">
      <t>ヨウリョウ</t>
    </rPh>
    <rPh sb="36" eb="37">
      <t>トウ</t>
    </rPh>
    <rPh sb="43" eb="45">
      <t>シセツ</t>
    </rPh>
    <rPh sb="45" eb="48">
      <t>タイシンカ</t>
    </rPh>
    <rPh sb="48" eb="50">
      <t>ジョウキョウ</t>
    </rPh>
    <rPh sb="50" eb="51">
      <t>オヨ</t>
    </rPh>
    <rPh sb="52" eb="54">
      <t>サイガイ</t>
    </rPh>
    <rPh sb="54" eb="55">
      <t>ジ</t>
    </rPh>
    <rPh sb="55" eb="57">
      <t>カクホ</t>
    </rPh>
    <rPh sb="57" eb="59">
      <t>スイリョウ</t>
    </rPh>
    <rPh sb="61" eb="63">
      <t>スウチ</t>
    </rPh>
    <rPh sb="64" eb="65">
      <t>コト</t>
    </rPh>
    <rPh sb="72" eb="73">
      <t>クニ</t>
    </rPh>
    <rPh sb="74" eb="76">
      <t>スイドウ</t>
    </rPh>
    <rPh sb="76" eb="78">
      <t>トウケイ</t>
    </rPh>
    <rPh sb="78" eb="80">
      <t>チョウサ</t>
    </rPh>
    <rPh sb="82" eb="84">
      <t>セイゴウ</t>
    </rPh>
    <rPh sb="85" eb="86">
      <t>ハカ</t>
    </rPh>
    <rPh sb="99" eb="101">
      <t>ケイサイ</t>
    </rPh>
    <phoneticPr fontId="6"/>
  </si>
  <si>
    <t>平成26年度の公営企業会計基準の変更に伴い、以下の式による算出数値を併記</t>
    <rPh sb="22" eb="24">
      <t>イカ</t>
    </rPh>
    <rPh sb="25" eb="26">
      <t>シキ</t>
    </rPh>
    <rPh sb="29" eb="31">
      <t>サンシュツ</t>
    </rPh>
    <rPh sb="31" eb="33">
      <t>スウチ</t>
    </rPh>
    <rPh sb="34" eb="36">
      <t>ヘイキ</t>
    </rPh>
    <phoneticPr fontId="6"/>
  </si>
  <si>
    <r>
      <t>上水道又は簡易水道から供給を受ける水のみを水源とし、貯水槽の有効容量の合計が１０m</t>
    </r>
    <r>
      <rPr>
        <vertAlign val="superscript"/>
        <sz val="10"/>
        <rFont val="ＭＳ Ｐゴシック"/>
        <family val="3"/>
        <charset val="128"/>
      </rPr>
      <t>3</t>
    </r>
    <r>
      <rPr>
        <sz val="10"/>
        <rFont val="ＭＳ Ｐゴシック"/>
        <family val="3"/>
        <charset val="128"/>
      </rPr>
      <t>を超えるもの（上水道、簡易水道及び専用水道以外）</t>
    </r>
    <rPh sb="26" eb="29">
      <t>チョスイソウ</t>
    </rPh>
    <phoneticPr fontId="6"/>
  </si>
  <si>
    <t>上水道、簡易水道、飲料水供給施設又は簡易給水施設から供給を受ける水のみを水源とし、貯水槽を有するもの（上水道、簡易水道、専用水道及び簡易専用水道以外）</t>
    <rPh sb="41" eb="44">
      <t>チョスイソウ</t>
    </rPh>
    <phoneticPr fontId="6"/>
  </si>
  <si>
    <t>１．総括</t>
    <rPh sb="2" eb="3">
      <t>フサ</t>
    </rPh>
    <rPh sb="3" eb="4">
      <t>クク</t>
    </rPh>
    <phoneticPr fontId="6"/>
  </si>
  <si>
    <t>水　道　種　別</t>
    <rPh sb="0" eb="1">
      <t>ミズ</t>
    </rPh>
    <rPh sb="2" eb="3">
      <t>ミチ</t>
    </rPh>
    <rPh sb="4" eb="5">
      <t>タネ</t>
    </rPh>
    <rPh sb="6" eb="7">
      <t>ベツ</t>
    </rPh>
    <phoneticPr fontId="6"/>
  </si>
  <si>
    <t>用水供給</t>
    <rPh sb="0" eb="2">
      <t>ヨウスイ</t>
    </rPh>
    <rPh sb="2" eb="4">
      <t>キョウキュウ</t>
    </rPh>
    <phoneticPr fontId="6"/>
  </si>
  <si>
    <t>上水道</t>
    <rPh sb="0" eb="3">
      <t>ジョウスイドウ</t>
    </rPh>
    <phoneticPr fontId="6"/>
  </si>
  <si>
    <t>簡易水道</t>
    <rPh sb="0" eb="2">
      <t>カンイ</t>
    </rPh>
    <rPh sb="2" eb="4">
      <t>スイドウ</t>
    </rPh>
    <phoneticPr fontId="6"/>
  </si>
  <si>
    <t>専用水道</t>
    <rPh sb="0" eb="2">
      <t>センヨウ</t>
    </rPh>
    <rPh sb="2" eb="4">
      <t>スイドウ</t>
    </rPh>
    <phoneticPr fontId="6"/>
  </si>
  <si>
    <t>計</t>
    <rPh sb="0" eb="1">
      <t>ケイ</t>
    </rPh>
    <phoneticPr fontId="6"/>
  </si>
  <si>
    <t>割合</t>
    <rPh sb="0" eb="2">
      <t>ワリアイ</t>
    </rPh>
    <phoneticPr fontId="6"/>
  </si>
  <si>
    <t>水　道　数</t>
    <rPh sb="0" eb="1">
      <t>ミズ</t>
    </rPh>
    <rPh sb="2" eb="3">
      <t>ミチ</t>
    </rPh>
    <rPh sb="4" eb="5">
      <t>スウ</t>
    </rPh>
    <phoneticPr fontId="6"/>
  </si>
  <si>
    <t>　県営</t>
    <rPh sb="1" eb="3">
      <t>ケンエイ</t>
    </rPh>
    <phoneticPr fontId="6"/>
  </si>
  <si>
    <t>（箇所）</t>
    <rPh sb="1" eb="3">
      <t>カショ</t>
    </rPh>
    <phoneticPr fontId="6"/>
  </si>
  <si>
    <t>－</t>
    <phoneticPr fontId="6"/>
  </si>
  <si>
    <t>　市営</t>
    <rPh sb="1" eb="3">
      <t>シエイ</t>
    </rPh>
    <phoneticPr fontId="6"/>
  </si>
  <si>
    <t>　町営</t>
    <rPh sb="1" eb="3">
      <t>チョウエイ</t>
    </rPh>
    <phoneticPr fontId="6"/>
  </si>
  <si>
    <t>　村営</t>
    <rPh sb="1" eb="3">
      <t>ソンエイ</t>
    </rPh>
    <phoneticPr fontId="6"/>
  </si>
  <si>
    <t>　一部事務組合営</t>
    <rPh sb="1" eb="3">
      <t>イチブ</t>
    </rPh>
    <rPh sb="3" eb="5">
      <t>ジム</t>
    </rPh>
    <rPh sb="5" eb="7">
      <t>クミアイ</t>
    </rPh>
    <rPh sb="7" eb="8">
      <t>エイ</t>
    </rPh>
    <phoneticPr fontId="6"/>
  </si>
  <si>
    <t>　その他</t>
    <rPh sb="3" eb="4">
      <t>タ</t>
    </rPh>
    <phoneticPr fontId="6"/>
  </si>
  <si>
    <t>　計</t>
    <rPh sb="1" eb="2">
      <t>ケイ</t>
    </rPh>
    <phoneticPr fontId="6"/>
  </si>
  <si>
    <t>　給 水 人 口</t>
    <rPh sb="1" eb="4">
      <t>キュウスイ</t>
    </rPh>
    <rPh sb="5" eb="8">
      <t>ジンコウ</t>
    </rPh>
    <phoneticPr fontId="6"/>
  </si>
  <si>
    <t>（人）</t>
    <rPh sb="1" eb="2">
      <t>ニン</t>
    </rPh>
    <phoneticPr fontId="6"/>
  </si>
  <si>
    <t>　普　及　率</t>
    <rPh sb="1" eb="2">
      <t>ススム</t>
    </rPh>
    <rPh sb="3" eb="4">
      <t>オヨブ</t>
    </rPh>
    <rPh sb="5" eb="6">
      <t>リツ</t>
    </rPh>
    <phoneticPr fontId="6"/>
  </si>
  <si>
    <t>（％）</t>
  </si>
  <si>
    <t>給
水
量</t>
    <rPh sb="0" eb="7">
      <t>キュウスイリョウ</t>
    </rPh>
    <phoneticPr fontId="6"/>
  </si>
  <si>
    <t>年間給水量</t>
    <rPh sb="0" eb="2">
      <t>ネンカン</t>
    </rPh>
    <rPh sb="2" eb="5">
      <t>キュウスイリョウ</t>
    </rPh>
    <phoneticPr fontId="6"/>
  </si>
  <si>
    <r>
      <t>（千m</t>
    </r>
    <r>
      <rPr>
        <vertAlign val="superscript"/>
        <sz val="18"/>
        <color indexed="8"/>
        <rFont val="ＭＳ Ｐゴシック"/>
        <family val="3"/>
        <charset val="128"/>
      </rPr>
      <t>3</t>
    </r>
    <r>
      <rPr>
        <sz val="18"/>
        <color indexed="8"/>
        <rFont val="ＭＳ Ｐゴシック"/>
        <family val="3"/>
        <charset val="128"/>
      </rPr>
      <t>）</t>
    </r>
    <rPh sb="1" eb="2">
      <t>セン</t>
    </rPh>
    <phoneticPr fontId="6"/>
  </si>
  <si>
    <t>　有効水量</t>
    <rPh sb="1" eb="3">
      <t>ユウコウ</t>
    </rPh>
    <rPh sb="3" eb="5">
      <t>スイリョウ</t>
    </rPh>
    <phoneticPr fontId="6"/>
  </si>
  <si>
    <t>　有効率</t>
    <rPh sb="1" eb="4">
      <t>ユウコウリツ</t>
    </rPh>
    <phoneticPr fontId="6"/>
  </si>
  <si>
    <t>（％）</t>
    <phoneticPr fontId="6"/>
  </si>
  <si>
    <t>　有収水量</t>
    <rPh sb="1" eb="5">
      <t>ユウシュウスイリョウ</t>
    </rPh>
    <phoneticPr fontId="6"/>
  </si>
  <si>
    <t>　有収率</t>
    <rPh sb="1" eb="3">
      <t>ユウシュウ</t>
    </rPh>
    <rPh sb="3" eb="4">
      <t>リツ</t>
    </rPh>
    <phoneticPr fontId="6"/>
  </si>
  <si>
    <t>１日最大</t>
    <rPh sb="1" eb="2">
      <t>ニチ</t>
    </rPh>
    <rPh sb="2" eb="4">
      <t>サイダイ</t>
    </rPh>
    <phoneticPr fontId="6"/>
  </si>
  <si>
    <r>
      <t>（m</t>
    </r>
    <r>
      <rPr>
        <vertAlign val="superscript"/>
        <sz val="18"/>
        <color indexed="8"/>
        <rFont val="ＭＳ Ｐゴシック"/>
        <family val="3"/>
        <charset val="128"/>
      </rPr>
      <t>3</t>
    </r>
    <r>
      <rPr>
        <sz val="18"/>
        <color indexed="8"/>
        <rFont val="ＭＳ Ｐゴシック"/>
        <family val="3"/>
        <charset val="128"/>
      </rPr>
      <t>）</t>
    </r>
    <phoneticPr fontId="6"/>
  </si>
  <si>
    <t>１日平均</t>
    <rPh sb="1" eb="2">
      <t>ニチ</t>
    </rPh>
    <rPh sb="2" eb="4">
      <t>ヘイキン</t>
    </rPh>
    <phoneticPr fontId="6"/>
  </si>
  <si>
    <t>１人１日最大</t>
    <rPh sb="1" eb="2">
      <t>ニン</t>
    </rPh>
    <rPh sb="3" eb="4">
      <t>ニチ</t>
    </rPh>
    <rPh sb="4" eb="6">
      <t>サイダイ</t>
    </rPh>
    <phoneticPr fontId="6"/>
  </si>
  <si>
    <t>（㍑）</t>
    <phoneticPr fontId="6"/>
  </si>
  <si>
    <t>１人１日平均</t>
    <rPh sb="1" eb="2">
      <t>ニン</t>
    </rPh>
    <rPh sb="3" eb="4">
      <t>ニチ</t>
    </rPh>
    <rPh sb="4" eb="6">
      <t>ヘイキン</t>
    </rPh>
    <phoneticPr fontId="6"/>
  </si>
  <si>
    <t>取
水
量</t>
    <rPh sb="0" eb="7">
      <t>シュスイリョウ</t>
    </rPh>
    <phoneticPr fontId="6"/>
  </si>
  <si>
    <t>年間取水量</t>
    <rPh sb="0" eb="2">
      <t>ネンカン</t>
    </rPh>
    <rPh sb="2" eb="5">
      <t>シュスイリョウ</t>
    </rPh>
    <phoneticPr fontId="6"/>
  </si>
  <si>
    <t>地表水</t>
    <rPh sb="0" eb="2">
      <t>チヒョウ</t>
    </rPh>
    <rPh sb="2" eb="3">
      <t>スイ</t>
    </rPh>
    <phoneticPr fontId="6"/>
  </si>
  <si>
    <t>　ダム</t>
  </si>
  <si>
    <t>　湖沼</t>
    <rPh sb="1" eb="3">
      <t>コショウ</t>
    </rPh>
    <phoneticPr fontId="6"/>
  </si>
  <si>
    <t>　河川</t>
    <rPh sb="1" eb="3">
      <t>カセン</t>
    </rPh>
    <phoneticPr fontId="6"/>
  </si>
  <si>
    <t>地下水</t>
    <rPh sb="0" eb="3">
      <t>チカスイ</t>
    </rPh>
    <phoneticPr fontId="6"/>
  </si>
  <si>
    <t>　伏流水</t>
    <rPh sb="1" eb="4">
      <t>フクリュウスイ</t>
    </rPh>
    <phoneticPr fontId="6"/>
  </si>
  <si>
    <t>　浅井戸</t>
    <rPh sb="1" eb="2">
      <t>アサ</t>
    </rPh>
    <rPh sb="2" eb="4">
      <t>イド</t>
    </rPh>
    <phoneticPr fontId="6"/>
  </si>
  <si>
    <t>　深井戸</t>
    <rPh sb="1" eb="2">
      <t>フカ</t>
    </rPh>
    <rPh sb="2" eb="4">
      <t>イド</t>
    </rPh>
    <phoneticPr fontId="6"/>
  </si>
  <si>
    <t>　湧水等</t>
    <rPh sb="1" eb="3">
      <t>ユウスイ</t>
    </rPh>
    <rPh sb="3" eb="4">
      <t>トウ</t>
    </rPh>
    <phoneticPr fontId="6"/>
  </si>
  <si>
    <t>浄水受水</t>
    <rPh sb="0" eb="2">
      <t>ジョウスイ</t>
    </rPh>
    <rPh sb="2" eb="4">
      <t>ジュスイ</t>
    </rPh>
    <phoneticPr fontId="6"/>
  </si>
  <si>
    <t>-</t>
    <phoneticPr fontId="6"/>
  </si>
  <si>
    <t>＊1　専用水道の給水人口は自己水源のみの専用水道の給水人口のみとする。</t>
    <rPh sb="3" eb="5">
      <t>センヨウ</t>
    </rPh>
    <rPh sb="5" eb="7">
      <t>スイドウ</t>
    </rPh>
    <rPh sb="8" eb="10">
      <t>キュウスイ</t>
    </rPh>
    <rPh sb="10" eb="12">
      <t>ジンコウ</t>
    </rPh>
    <rPh sb="13" eb="15">
      <t>ジコ</t>
    </rPh>
    <rPh sb="15" eb="17">
      <t>スイゲン</t>
    </rPh>
    <rPh sb="20" eb="22">
      <t>センヨウ</t>
    </rPh>
    <rPh sb="22" eb="24">
      <t>スイドウ</t>
    </rPh>
    <rPh sb="25" eb="27">
      <t>キュウスイ</t>
    </rPh>
    <rPh sb="27" eb="29">
      <t>ジンコウ</t>
    </rPh>
    <phoneticPr fontId="6"/>
  </si>
  <si>
    <t>＊2　上水道の年間給水量、有効水量、有収水量、１人１日最大給水量及び１人１日平均給水量は分水量を除いたものである。</t>
    <rPh sb="3" eb="4">
      <t>ジョウ</t>
    </rPh>
    <rPh sb="4" eb="6">
      <t>スイドウ</t>
    </rPh>
    <rPh sb="7" eb="9">
      <t>ネンカン</t>
    </rPh>
    <rPh sb="9" eb="10">
      <t>キュウ</t>
    </rPh>
    <rPh sb="10" eb="12">
      <t>スイリョウ</t>
    </rPh>
    <rPh sb="13" eb="15">
      <t>ユウコウ</t>
    </rPh>
    <rPh sb="15" eb="17">
      <t>スイリョウ</t>
    </rPh>
    <rPh sb="18" eb="19">
      <t>ユウ</t>
    </rPh>
    <rPh sb="19" eb="20">
      <t>シュウ</t>
    </rPh>
    <rPh sb="20" eb="22">
      <t>スイリョウ</t>
    </rPh>
    <rPh sb="24" eb="25">
      <t>ニン</t>
    </rPh>
    <rPh sb="26" eb="27">
      <t>ニチ</t>
    </rPh>
    <rPh sb="27" eb="29">
      <t>サイダイ</t>
    </rPh>
    <rPh sb="29" eb="30">
      <t>キュウ</t>
    </rPh>
    <rPh sb="30" eb="32">
      <t>スイリョウ</t>
    </rPh>
    <rPh sb="32" eb="33">
      <t>オヨ</t>
    </rPh>
    <rPh sb="35" eb="36">
      <t>ニン</t>
    </rPh>
    <rPh sb="37" eb="38">
      <t>ニチ</t>
    </rPh>
    <rPh sb="38" eb="40">
      <t>ヘイキン</t>
    </rPh>
    <rPh sb="40" eb="41">
      <t>キュウ</t>
    </rPh>
    <rPh sb="41" eb="43">
      <t>スイリョウ</t>
    </rPh>
    <rPh sb="44" eb="45">
      <t>ブン</t>
    </rPh>
    <rPh sb="45" eb="47">
      <t>スイリョウ</t>
    </rPh>
    <rPh sb="48" eb="49">
      <t>ノゾ</t>
    </rPh>
    <phoneticPr fontId="6"/>
  </si>
  <si>
    <t>＊3　上水道の１日最大給水量及び１日平均給水量は分水量を含む。</t>
    <rPh sb="3" eb="4">
      <t>ジョウ</t>
    </rPh>
    <rPh sb="4" eb="6">
      <t>スイドウ</t>
    </rPh>
    <rPh sb="8" eb="9">
      <t>ニチ</t>
    </rPh>
    <rPh sb="9" eb="11">
      <t>サイダイ</t>
    </rPh>
    <rPh sb="11" eb="12">
      <t>キュウ</t>
    </rPh>
    <rPh sb="12" eb="14">
      <t>スイリョウ</t>
    </rPh>
    <rPh sb="14" eb="15">
      <t>オヨ</t>
    </rPh>
    <rPh sb="17" eb="18">
      <t>ニチ</t>
    </rPh>
    <rPh sb="18" eb="20">
      <t>ヘイキン</t>
    </rPh>
    <rPh sb="20" eb="21">
      <t>キュウ</t>
    </rPh>
    <rPh sb="21" eb="23">
      <t>スイリョウ</t>
    </rPh>
    <rPh sb="24" eb="25">
      <t>ブン</t>
    </rPh>
    <rPh sb="25" eb="27">
      <t>スイリョウ</t>
    </rPh>
    <rPh sb="28" eb="29">
      <t>フク</t>
    </rPh>
    <phoneticPr fontId="6"/>
  </si>
  <si>
    <t>＊4　給水量の計の各項目は専用水道の給水量を含まない。</t>
    <rPh sb="3" eb="6">
      <t>キュウスイリョウ</t>
    </rPh>
    <rPh sb="7" eb="8">
      <t>ケイ</t>
    </rPh>
    <rPh sb="9" eb="12">
      <t>カクコウモク</t>
    </rPh>
    <rPh sb="13" eb="15">
      <t>センヨウ</t>
    </rPh>
    <rPh sb="15" eb="17">
      <t>スイドウ</t>
    </rPh>
    <rPh sb="18" eb="20">
      <t>キュウスイ</t>
    </rPh>
    <rPh sb="20" eb="21">
      <t>リョウ</t>
    </rPh>
    <rPh sb="22" eb="23">
      <t>フク</t>
    </rPh>
    <phoneticPr fontId="6"/>
  </si>
  <si>
    <t>＊5　専用水道の給水量は１人１日平均給水量を200㍑、有効率及び有収率を70％として推定したものである。</t>
    <rPh sb="3" eb="5">
      <t>センヨウ</t>
    </rPh>
    <rPh sb="5" eb="7">
      <t>スイドウ</t>
    </rPh>
    <rPh sb="8" eb="9">
      <t>キュウ</t>
    </rPh>
    <rPh sb="9" eb="11">
      <t>スイリョウ</t>
    </rPh>
    <rPh sb="13" eb="14">
      <t>ニン</t>
    </rPh>
    <rPh sb="15" eb="16">
      <t>ニチ</t>
    </rPh>
    <rPh sb="16" eb="18">
      <t>ヘイキン</t>
    </rPh>
    <rPh sb="18" eb="19">
      <t>キュウ</t>
    </rPh>
    <rPh sb="19" eb="21">
      <t>スイリョウ</t>
    </rPh>
    <rPh sb="27" eb="30">
      <t>ユウコウリツ</t>
    </rPh>
    <rPh sb="30" eb="31">
      <t>オヨ</t>
    </rPh>
    <rPh sb="32" eb="33">
      <t>ユウ</t>
    </rPh>
    <rPh sb="33" eb="34">
      <t>シュウ</t>
    </rPh>
    <rPh sb="34" eb="35">
      <t>リツ</t>
    </rPh>
    <rPh sb="42" eb="44">
      <t>スイテイ</t>
    </rPh>
    <phoneticPr fontId="6"/>
  </si>
  <si>
    <t>　都道府県営</t>
    <rPh sb="1" eb="5">
      <t>トドウフケン</t>
    </rPh>
    <rPh sb="5" eb="6">
      <t>エイ</t>
    </rPh>
    <phoneticPr fontId="6"/>
  </si>
  <si>
    <t>その他</t>
    <rPh sb="2" eb="3">
      <t>タ</t>
    </rPh>
    <phoneticPr fontId="6"/>
  </si>
  <si>
    <t>上記＊1から＊5は当表にも該当する。</t>
    <rPh sb="0" eb="2">
      <t>ジョウキ</t>
    </rPh>
    <rPh sb="9" eb="10">
      <t>トウ</t>
    </rPh>
    <rPh sb="10" eb="11">
      <t>ヒョウ</t>
    </rPh>
    <rPh sb="13" eb="15">
      <t>ガイトウ</t>
    </rPh>
    <phoneticPr fontId="6"/>
  </si>
  <si>
    <t>＊7　簡易水道の１日平均、１人１日最大及び１人１日平均給水量は県が独自に算出したものである。</t>
    <rPh sb="3" eb="5">
      <t>カンイ</t>
    </rPh>
    <rPh sb="5" eb="7">
      <t>スイドウ</t>
    </rPh>
    <rPh sb="9" eb="10">
      <t>ニチ</t>
    </rPh>
    <rPh sb="10" eb="12">
      <t>ヘイキン</t>
    </rPh>
    <rPh sb="14" eb="15">
      <t>ニン</t>
    </rPh>
    <rPh sb="16" eb="17">
      <t>ニチ</t>
    </rPh>
    <rPh sb="17" eb="19">
      <t>サイダイ</t>
    </rPh>
    <rPh sb="19" eb="20">
      <t>オヨ</t>
    </rPh>
    <rPh sb="22" eb="23">
      <t>ニン</t>
    </rPh>
    <rPh sb="24" eb="25">
      <t>ニチ</t>
    </rPh>
    <rPh sb="25" eb="27">
      <t>ヘイキン</t>
    </rPh>
    <rPh sb="27" eb="28">
      <t>キュウ</t>
    </rPh>
    <rPh sb="28" eb="30">
      <t>スイリョウ</t>
    </rPh>
    <rPh sb="31" eb="32">
      <t>ケン</t>
    </rPh>
    <rPh sb="33" eb="35">
      <t>ドクジ</t>
    </rPh>
    <rPh sb="36" eb="38">
      <t>サンシュツ</t>
    </rPh>
    <phoneticPr fontId="6"/>
  </si>
  <si>
    <t>＊8　給水量の計の各項目は県が独自に算出したものである。</t>
    <rPh sb="3" eb="4">
      <t>キュウ</t>
    </rPh>
    <rPh sb="4" eb="6">
      <t>スイリョウ</t>
    </rPh>
    <rPh sb="7" eb="8">
      <t>ケイ</t>
    </rPh>
    <rPh sb="9" eb="10">
      <t>カク</t>
    </rPh>
    <rPh sb="10" eb="12">
      <t>コウモク</t>
    </rPh>
    <rPh sb="13" eb="14">
      <t>ケン</t>
    </rPh>
    <rPh sb="15" eb="17">
      <t>ドクジ</t>
    </rPh>
    <rPh sb="18" eb="20">
      <t>サンシュツ</t>
    </rPh>
    <phoneticPr fontId="6"/>
  </si>
  <si>
    <t>＊9　取水量の計の各項目は簡易水道の数値を含まない。</t>
    <rPh sb="3" eb="4">
      <t>シュ</t>
    </rPh>
    <rPh sb="4" eb="6">
      <t>スイリョウ</t>
    </rPh>
    <rPh sb="7" eb="8">
      <t>ケイ</t>
    </rPh>
    <rPh sb="9" eb="10">
      <t>カク</t>
    </rPh>
    <rPh sb="10" eb="12">
      <t>コウモク</t>
    </rPh>
    <rPh sb="13" eb="15">
      <t>カンイ</t>
    </rPh>
    <rPh sb="15" eb="17">
      <t>スイドウ</t>
    </rPh>
    <rPh sb="18" eb="20">
      <t>スウチ</t>
    </rPh>
    <rPh sb="21" eb="22">
      <t>フク</t>
    </rPh>
    <phoneticPr fontId="6"/>
  </si>
  <si>
    <t>（１）給水人口及び普及率</t>
    <rPh sb="3" eb="5">
      <t>キュウスイ</t>
    </rPh>
    <rPh sb="5" eb="7">
      <t>ジンコウ</t>
    </rPh>
    <rPh sb="7" eb="8">
      <t>オヨ</t>
    </rPh>
    <rPh sb="9" eb="11">
      <t>フキュウ</t>
    </rPh>
    <rPh sb="11" eb="12">
      <t>リツ</t>
    </rPh>
    <phoneticPr fontId="6"/>
  </si>
  <si>
    <t>（２）給水人口の推移</t>
    <rPh sb="3" eb="5">
      <t>キュウスイ</t>
    </rPh>
    <rPh sb="5" eb="7">
      <t>ジンコウ</t>
    </rPh>
    <rPh sb="8" eb="10">
      <t>スイイ</t>
    </rPh>
    <phoneticPr fontId="6"/>
  </si>
  <si>
    <t>（３）水道事業数等の推移</t>
    <rPh sb="3" eb="5">
      <t>スイドウ</t>
    </rPh>
    <rPh sb="5" eb="8">
      <t>ジギョウスウ</t>
    </rPh>
    <rPh sb="8" eb="9">
      <t>トウ</t>
    </rPh>
    <rPh sb="10" eb="12">
      <t>スイイ</t>
    </rPh>
    <phoneticPr fontId="6"/>
  </si>
  <si>
    <t>（４）年間給水量の推移</t>
    <rPh sb="3" eb="5">
      <t>ネンカン</t>
    </rPh>
    <rPh sb="5" eb="8">
      <t>キュウスイリョウ</t>
    </rPh>
    <rPh sb="9" eb="11">
      <t>スイイ</t>
    </rPh>
    <phoneticPr fontId="6"/>
  </si>
  <si>
    <t>（５）水源の種類別の取水量</t>
    <rPh sb="3" eb="5">
      <t>スイゲン</t>
    </rPh>
    <rPh sb="6" eb="8">
      <t>シュルイ</t>
    </rPh>
    <rPh sb="8" eb="9">
      <t>ベツ</t>
    </rPh>
    <rPh sb="10" eb="12">
      <t>シュスイ</t>
    </rPh>
    <rPh sb="12" eb="13">
      <t>リョウ</t>
    </rPh>
    <phoneticPr fontId="6"/>
  </si>
  <si>
    <t>（６）浄水方法の種類別の浄水量</t>
    <rPh sb="3" eb="5">
      <t>ジョウスイ</t>
    </rPh>
    <rPh sb="5" eb="7">
      <t>ホウホウ</t>
    </rPh>
    <rPh sb="8" eb="10">
      <t>シュルイ</t>
    </rPh>
    <rPh sb="10" eb="11">
      <t>ベツ</t>
    </rPh>
    <rPh sb="12" eb="14">
      <t>ジョウスイ</t>
    </rPh>
    <rPh sb="14" eb="15">
      <t>リョウ</t>
    </rPh>
    <phoneticPr fontId="6"/>
  </si>
  <si>
    <t>（７）管種別の延長</t>
    <rPh sb="3" eb="4">
      <t>カン</t>
    </rPh>
    <rPh sb="4" eb="6">
      <t>シュベツ</t>
    </rPh>
    <rPh sb="7" eb="9">
      <t>エンチョウ</t>
    </rPh>
    <phoneticPr fontId="6"/>
  </si>
  <si>
    <t>(3)</t>
    <phoneticPr fontId="6"/>
  </si>
  <si>
    <t>(2)</t>
    <phoneticPr fontId="6"/>
  </si>
  <si>
    <t>↓現在給水人口</t>
    <rPh sb="1" eb="3">
      <t>ゲンザイ</t>
    </rPh>
    <rPh sb="3" eb="5">
      <t>キュウスイ</t>
    </rPh>
    <rPh sb="5" eb="7">
      <t>ジンコウ</t>
    </rPh>
    <phoneticPr fontId="27"/>
  </si>
  <si>
    <t>上水</t>
    <rPh sb="0" eb="2">
      <t>ジョウスイドウ</t>
    </rPh>
    <phoneticPr fontId="5"/>
  </si>
  <si>
    <t>簡水</t>
    <rPh sb="0" eb="1">
      <t>カンイ</t>
    </rPh>
    <rPh sb="1" eb="2">
      <t>スイドウ</t>
    </rPh>
    <phoneticPr fontId="5"/>
  </si>
  <si>
    <t>専用</t>
    <rPh sb="0" eb="2">
      <t>センヨウ</t>
    </rPh>
    <phoneticPr fontId="5"/>
  </si>
  <si>
    <t>計</t>
    <rPh sb="0" eb="1">
      <t>ケイ</t>
    </rPh>
    <phoneticPr fontId="5"/>
  </si>
  <si>
    <t>県内総人口</t>
    <rPh sb="0" eb="2">
      <t>ケンナイ</t>
    </rPh>
    <rPh sb="2" eb="5">
      <t>ソウジンコウ</t>
    </rPh>
    <phoneticPr fontId="6"/>
  </si>
  <si>
    <t>給水人口計</t>
    <rPh sb="0" eb="2">
      <t>キュウスイ</t>
    </rPh>
    <rPh sb="2" eb="4">
      <t>ジンコウ</t>
    </rPh>
    <rPh sb="4" eb="5">
      <t>ケイ</t>
    </rPh>
    <phoneticPr fontId="6"/>
  </si>
  <si>
    <t>上水道</t>
    <rPh sb="0" eb="2">
      <t>ジョウスイ</t>
    </rPh>
    <rPh sb="2" eb="3">
      <t>ミチ</t>
    </rPh>
    <phoneticPr fontId="6"/>
  </si>
  <si>
    <t>普及率</t>
    <rPh sb="0" eb="3">
      <t>フキュウリツ</t>
    </rPh>
    <phoneticPr fontId="6"/>
  </si>
  <si>
    <t>H14</t>
    <phoneticPr fontId="6"/>
  </si>
  <si>
    <t>H14</t>
    <phoneticPr fontId="6"/>
  </si>
  <si>
    <t>H15</t>
    <phoneticPr fontId="6"/>
  </si>
  <si>
    <t>H16</t>
  </si>
  <si>
    <t>H17</t>
    <phoneticPr fontId="6"/>
  </si>
  <si>
    <t>H18</t>
  </si>
  <si>
    <t>H19</t>
  </si>
  <si>
    <t>H20</t>
  </si>
  <si>
    <t>H21</t>
  </si>
  <si>
    <t>H22</t>
    <phoneticPr fontId="6"/>
  </si>
  <si>
    <t>H22</t>
    <phoneticPr fontId="6"/>
  </si>
  <si>
    <t>H23</t>
    <phoneticPr fontId="6"/>
  </si>
  <si>
    <t>H24</t>
  </si>
  <si>
    <t>H25</t>
  </si>
  <si>
    <t>H26</t>
  </si>
  <si>
    <t>H27</t>
    <phoneticPr fontId="6"/>
  </si>
  <si>
    <t>H27</t>
    <phoneticPr fontId="6"/>
  </si>
  <si>
    <t>H28</t>
  </si>
  <si>
    <t>H29</t>
    <phoneticPr fontId="27"/>
  </si>
  <si>
    <t>H30</t>
    <phoneticPr fontId="27"/>
  </si>
  <si>
    <t>H30</t>
    <phoneticPr fontId="27"/>
  </si>
  <si>
    <t>R元</t>
    <rPh sb="1" eb="2">
      <t>モト</t>
    </rPh>
    <phoneticPr fontId="27"/>
  </si>
  <si>
    <t>＊専用水道については、自己水源のみによるもの以外は本表に含まない。</t>
    <phoneticPr fontId="5"/>
  </si>
  <si>
    <t>(1)</t>
    <phoneticPr fontId="6"/>
  </si>
  <si>
    <t>↑　転記</t>
    <rPh sb="2" eb="4">
      <t>テンキ</t>
    </rPh>
    <phoneticPr fontId="6"/>
  </si>
  <si>
    <t>未普及</t>
    <rPh sb="0" eb="1">
      <t>ミ</t>
    </rPh>
    <rPh sb="1" eb="3">
      <t>フキュウ</t>
    </rPh>
    <phoneticPr fontId="6"/>
  </si>
  <si>
    <t>4)</t>
    <phoneticPr fontId="6"/>
  </si>
  <si>
    <t>上水道</t>
    <rPh sb="0" eb="3">
      <t>ジョウスイドウ</t>
    </rPh>
    <phoneticPr fontId="5"/>
  </si>
  <si>
    <t>簡易水道</t>
    <rPh sb="0" eb="2">
      <t>カンイ</t>
    </rPh>
    <rPh sb="2" eb="4">
      <t>スイドウ</t>
    </rPh>
    <phoneticPr fontId="5"/>
  </si>
  <si>
    <t>合計</t>
    <rPh sb="0" eb="2">
      <t>ゴウケイ</t>
    </rPh>
    <phoneticPr fontId="5"/>
  </si>
  <si>
    <t>年間</t>
  </si>
  <si>
    <t>給水量</t>
  </si>
  <si>
    <t>（百万ｍ3）</t>
    <rPh sb="1" eb="3">
      <t>ヒャクマン</t>
    </rPh>
    <phoneticPr fontId="6"/>
  </si>
  <si>
    <t>H14</t>
    <phoneticPr fontId="6"/>
  </si>
  <si>
    <t>H16</t>
    <phoneticPr fontId="6"/>
  </si>
  <si>
    <t>H18</t>
    <phoneticPr fontId="6"/>
  </si>
  <si>
    <t>H19</t>
    <phoneticPr fontId="6"/>
  </si>
  <si>
    <t>H20</t>
    <phoneticPr fontId="6"/>
  </si>
  <si>
    <t>H21</t>
    <phoneticPr fontId="6"/>
  </si>
  <si>
    <t>H23</t>
    <phoneticPr fontId="6"/>
  </si>
  <si>
    <t>H29</t>
    <phoneticPr fontId="27"/>
  </si>
  <si>
    <t>CD5020</t>
    <phoneticPr fontId="27"/>
  </si>
  <si>
    <t>CD79</t>
    <phoneticPr fontId="27"/>
  </si>
  <si>
    <t>取水実績</t>
    <rPh sb="0" eb="2">
      <t>シュスイ</t>
    </rPh>
    <rPh sb="2" eb="4">
      <t>ジッセキ</t>
    </rPh>
    <phoneticPr fontId="6"/>
  </si>
  <si>
    <t>(5)</t>
    <phoneticPr fontId="6"/>
  </si>
  <si>
    <t>(凡　例)</t>
    <rPh sb="1" eb="4">
      <t>ハンレイ</t>
    </rPh>
    <phoneticPr fontId="28"/>
  </si>
  <si>
    <t xml:space="preserve">合　計 </t>
    <rPh sb="0" eb="1">
      <t>ゴウ</t>
    </rPh>
    <rPh sb="2" eb="3">
      <t>ケイ</t>
    </rPh>
    <phoneticPr fontId="28"/>
  </si>
  <si>
    <t>簡易水道</t>
    <rPh sb="0" eb="2">
      <t>カンイ</t>
    </rPh>
    <rPh sb="2" eb="4">
      <t>スイドウ</t>
    </rPh>
    <phoneticPr fontId="28"/>
  </si>
  <si>
    <t>上 水 道</t>
    <rPh sb="0" eb="5">
      <t>ジョウスイドウ</t>
    </rPh>
    <phoneticPr fontId="28"/>
  </si>
  <si>
    <t>用水供給</t>
    <rPh sb="0" eb="2">
      <t>ヨウスイ</t>
    </rPh>
    <rPh sb="2" eb="4">
      <t>キョウキュウ</t>
    </rPh>
    <phoneticPr fontId="28"/>
  </si>
  <si>
    <t>ダム</t>
    <phoneticPr fontId="28"/>
  </si>
  <si>
    <t>湖沼</t>
    <rPh sb="0" eb="2">
      <t>コショウ</t>
    </rPh>
    <phoneticPr fontId="28"/>
  </si>
  <si>
    <t>河川</t>
    <rPh sb="0" eb="2">
      <t>カセン</t>
    </rPh>
    <phoneticPr fontId="28"/>
  </si>
  <si>
    <t>伏流水</t>
    <rPh sb="0" eb="3">
      <t>フクリュウスイ</t>
    </rPh>
    <phoneticPr fontId="28"/>
  </si>
  <si>
    <t>浅井戸</t>
    <rPh sb="0" eb="3">
      <t>アサイド</t>
    </rPh>
    <phoneticPr fontId="28"/>
  </si>
  <si>
    <t>深井戸</t>
    <rPh sb="0" eb="3">
      <t>フカイド</t>
    </rPh>
    <phoneticPr fontId="28"/>
  </si>
  <si>
    <t>湧水等</t>
    <rPh sb="0" eb="2">
      <t>ユウスイ</t>
    </rPh>
    <rPh sb="2" eb="3">
      <t>トウ</t>
    </rPh>
    <phoneticPr fontId="28"/>
  </si>
  <si>
    <t>受水</t>
    <rPh sb="0" eb="2">
      <t>ジュスイ</t>
    </rPh>
    <phoneticPr fontId="28"/>
  </si>
  <si>
    <t>直接+放流</t>
    <rPh sb="0" eb="2">
      <t>チョクセツ</t>
    </rPh>
    <rPh sb="3" eb="5">
      <t>ホウリュウ</t>
    </rPh>
    <phoneticPr fontId="27"/>
  </si>
  <si>
    <t>←１．総括</t>
    <rPh sb="3" eb="5">
      <t>ソウカツ</t>
    </rPh>
    <phoneticPr fontId="28"/>
  </si>
  <si>
    <t>浄水受水</t>
    <rPh sb="0" eb="2">
      <t>ジョウスイ</t>
    </rPh>
    <rPh sb="2" eb="4">
      <t>ジュスイ</t>
    </rPh>
    <phoneticPr fontId="28"/>
  </si>
  <si>
    <t>※原水受水は重複のため算入しない</t>
    <rPh sb="1" eb="3">
      <t>ゲンスイ</t>
    </rPh>
    <rPh sb="3" eb="5">
      <t>ジュスイ</t>
    </rPh>
    <rPh sb="6" eb="8">
      <t>チョウフク</t>
    </rPh>
    <rPh sb="11" eb="13">
      <t>サンニュウ</t>
    </rPh>
    <phoneticPr fontId="28"/>
  </si>
  <si>
    <t>消毒のみ</t>
    <phoneticPr fontId="6"/>
  </si>
  <si>
    <t>緩速ろ過</t>
    <phoneticPr fontId="6"/>
  </si>
  <si>
    <t>急速ろ過</t>
    <phoneticPr fontId="6"/>
  </si>
  <si>
    <t>膜ろ過</t>
    <rPh sb="0" eb="1">
      <t>マク</t>
    </rPh>
    <rPh sb="2" eb="3">
      <t>カ</t>
    </rPh>
    <phoneticPr fontId="6"/>
  </si>
  <si>
    <t>上水道</t>
    <rPh sb="0" eb="1">
      <t>ウエ</t>
    </rPh>
    <rPh sb="1" eb="2">
      <t>ミズ</t>
    </rPh>
    <rPh sb="2" eb="3">
      <t>ミチ</t>
    </rPh>
    <phoneticPr fontId="6"/>
  </si>
  <si>
    <t>用水供給</t>
    <rPh sb="0" eb="1">
      <t>ヨウスイ</t>
    </rPh>
    <rPh sb="1" eb="2">
      <t>スイ</t>
    </rPh>
    <rPh sb="2" eb="4">
      <t>キョウキュウ</t>
    </rPh>
    <phoneticPr fontId="6"/>
  </si>
  <si>
    <t>（6）</t>
    <phoneticPr fontId="6"/>
  </si>
  <si>
    <t>消毒のみ</t>
  </si>
  <si>
    <t>緩速ろ過</t>
  </si>
  <si>
    <t>急速ろ過</t>
  </si>
  <si>
    <t>←22</t>
    <phoneticPr fontId="27"/>
  </si>
  <si>
    <t>（簡水消毒）</t>
    <rPh sb="1" eb="3">
      <t>カンスイ</t>
    </rPh>
    <rPh sb="3" eb="5">
      <t>ショウドク</t>
    </rPh>
    <phoneticPr fontId="6"/>
  </si>
  <si>
    <t>(簡水UV)</t>
    <rPh sb="1" eb="3">
      <t>カンスイ</t>
    </rPh>
    <phoneticPr fontId="6"/>
  </si>
  <si>
    <t>←13</t>
    <phoneticPr fontId="27"/>
  </si>
  <si>
    <t>←9</t>
    <phoneticPr fontId="27"/>
  </si>
  <si>
    <t>（km)</t>
    <phoneticPr fontId="6"/>
  </si>
  <si>
    <t>鋳鉄管</t>
    <rPh sb="0" eb="3">
      <t>チュウテツカン</t>
    </rPh>
    <phoneticPr fontId="6"/>
  </si>
  <si>
    <t>ダクタイル鋳鉄管</t>
    <phoneticPr fontId="30"/>
  </si>
  <si>
    <t>鋼管</t>
    <rPh sb="0" eb="2">
      <t>コウカン</t>
    </rPh>
    <phoneticPr fontId="6"/>
  </si>
  <si>
    <t>石綿ｾﾒﾝﾄ管</t>
    <phoneticPr fontId="30"/>
  </si>
  <si>
    <t>塩化ビニル管</t>
    <rPh sb="0" eb="2">
      <t>エンカ</t>
    </rPh>
    <rPh sb="5" eb="6">
      <t>カン</t>
    </rPh>
    <phoneticPr fontId="30"/>
  </si>
  <si>
    <t>ポリエチレン</t>
    <phoneticPr fontId="6"/>
  </si>
  <si>
    <t>その他</t>
    <phoneticPr fontId="30"/>
  </si>
  <si>
    <t>上 水 道</t>
    <rPh sb="0" eb="3">
      <t>ジョウスイ</t>
    </rPh>
    <rPh sb="4" eb="5">
      <t>ミチ</t>
    </rPh>
    <phoneticPr fontId="6"/>
  </si>
  <si>
    <t>簡水</t>
    <rPh sb="0" eb="2">
      <t>カンスイ</t>
    </rPh>
    <phoneticPr fontId="27"/>
  </si>
  <si>
    <t>←23.及び管延長等</t>
    <rPh sb="4" eb="5">
      <t>オヨ</t>
    </rPh>
    <rPh sb="6" eb="7">
      <t>カン</t>
    </rPh>
    <rPh sb="7" eb="9">
      <t>エンチョウ</t>
    </rPh>
    <rPh sb="9" eb="10">
      <t>トウ</t>
    </rPh>
    <phoneticPr fontId="6"/>
  </si>
  <si>
    <t>上水</t>
    <rPh sb="0" eb="2">
      <t>ジョウスイ</t>
    </rPh>
    <phoneticPr fontId="27"/>
  </si>
  <si>
    <t>←16.管延長</t>
    <rPh sb="4" eb="5">
      <t>カン</t>
    </rPh>
    <rPh sb="5" eb="7">
      <t>エンチョウ</t>
    </rPh>
    <phoneticPr fontId="6"/>
  </si>
  <si>
    <t>３．水道の種類別箇所数の推移、給水人口及び普及率の推移</t>
    <rPh sb="2" eb="4">
      <t>スイドウ</t>
    </rPh>
    <rPh sb="5" eb="7">
      <t>シュルイ</t>
    </rPh>
    <rPh sb="7" eb="8">
      <t>ベツ</t>
    </rPh>
    <rPh sb="8" eb="10">
      <t>カショ</t>
    </rPh>
    <rPh sb="10" eb="11">
      <t>スウ</t>
    </rPh>
    <rPh sb="12" eb="14">
      <t>スイイ</t>
    </rPh>
    <rPh sb="15" eb="17">
      <t>キュウスイ</t>
    </rPh>
    <rPh sb="17" eb="19">
      <t>ジンコウ</t>
    </rPh>
    <rPh sb="19" eb="20">
      <t>オヨ</t>
    </rPh>
    <rPh sb="21" eb="23">
      <t>フキュウ</t>
    </rPh>
    <rPh sb="23" eb="24">
      <t>リツ</t>
    </rPh>
    <rPh sb="25" eb="27">
      <t>スイイ</t>
    </rPh>
    <phoneticPr fontId="5"/>
  </si>
  <si>
    <t>年度</t>
    <rPh sb="0" eb="2">
      <t>ネンド</t>
    </rPh>
    <phoneticPr fontId="5"/>
  </si>
  <si>
    <t>総人口
(人)</t>
    <rPh sb="5" eb="6">
      <t>ニン</t>
    </rPh>
    <phoneticPr fontId="5"/>
  </si>
  <si>
    <t>上　　水　　道</t>
    <phoneticPr fontId="5"/>
  </si>
  <si>
    <t>簡　易　水　道</t>
    <phoneticPr fontId="5"/>
  </si>
  <si>
    <t>専　用　水　道</t>
    <phoneticPr fontId="5"/>
  </si>
  <si>
    <t>計</t>
    <phoneticPr fontId="5"/>
  </si>
  <si>
    <t>箇所</t>
    <rPh sb="0" eb="2">
      <t>カショ</t>
    </rPh>
    <phoneticPr fontId="5"/>
  </si>
  <si>
    <t>給水人口
(人)</t>
    <rPh sb="6" eb="7">
      <t>ニン</t>
    </rPh>
    <phoneticPr fontId="5"/>
  </si>
  <si>
    <t>普及率
（%）</t>
    <phoneticPr fontId="5"/>
  </si>
  <si>
    <t>全国
順位</t>
    <rPh sb="0" eb="2">
      <t>ゼンコク</t>
    </rPh>
    <rPh sb="3" eb="5">
      <t>ジュンイ</t>
    </rPh>
    <phoneticPr fontId="5"/>
  </si>
  <si>
    <t xml:space="preserve"> 9</t>
  </si>
  <si>
    <t>10</t>
  </si>
  <si>
    <t>12</t>
  </si>
  <si>
    <t>11</t>
  </si>
  <si>
    <t>13</t>
  </si>
  <si>
    <t>16</t>
  </si>
  <si>
    <t>15</t>
  </si>
  <si>
    <t>14</t>
  </si>
  <si>
    <t>元</t>
    <rPh sb="0" eb="1">
      <t>ガン</t>
    </rPh>
    <phoneticPr fontId="6"/>
  </si>
  <si>
    <t>元</t>
    <rPh sb="0" eb="1">
      <t>ガン</t>
    </rPh>
    <phoneticPr fontId="5"/>
  </si>
  <si>
    <t>＊専用水道の給水人口は、自己水源のみのものとする。</t>
    <rPh sb="1" eb="3">
      <t>センヨウ</t>
    </rPh>
    <rPh sb="3" eb="5">
      <t>スイドウ</t>
    </rPh>
    <rPh sb="6" eb="8">
      <t>キュウスイ</t>
    </rPh>
    <rPh sb="8" eb="10">
      <t>ジンコウ</t>
    </rPh>
    <rPh sb="12" eb="14">
      <t>ジコ</t>
    </rPh>
    <rPh sb="14" eb="16">
      <t>スイゲン</t>
    </rPh>
    <phoneticPr fontId="5"/>
  </si>
  <si>
    <t>　　（他の水道から供給を受けている専用水道の給水人口は、供給している水道で計上し、専用水道では計上しない。）</t>
    <rPh sb="3" eb="4">
      <t>ホカ</t>
    </rPh>
    <rPh sb="5" eb="7">
      <t>スイドウ</t>
    </rPh>
    <rPh sb="9" eb="11">
      <t>キョウキュウ</t>
    </rPh>
    <rPh sb="12" eb="13">
      <t>ウ</t>
    </rPh>
    <rPh sb="17" eb="19">
      <t>センヨウ</t>
    </rPh>
    <rPh sb="19" eb="21">
      <t>スイドウ</t>
    </rPh>
    <rPh sb="22" eb="24">
      <t>キュウスイ</t>
    </rPh>
    <rPh sb="24" eb="26">
      <t>ジンコウ</t>
    </rPh>
    <rPh sb="28" eb="30">
      <t>キョウキュウ</t>
    </rPh>
    <rPh sb="34" eb="36">
      <t>スイドウ</t>
    </rPh>
    <rPh sb="37" eb="39">
      <t>ケイジョウ</t>
    </rPh>
    <rPh sb="41" eb="43">
      <t>センヨウ</t>
    </rPh>
    <rPh sb="43" eb="45">
      <t>スイドウ</t>
    </rPh>
    <rPh sb="47" eb="49">
      <t>ケイジョウ</t>
    </rPh>
    <phoneticPr fontId="5"/>
  </si>
  <si>
    <t>４．都道府県別の給水人口、普及率及び水道数</t>
    <rPh sb="2" eb="6">
      <t>トドウフケン</t>
    </rPh>
    <rPh sb="6" eb="7">
      <t>ベツ</t>
    </rPh>
    <rPh sb="8" eb="10">
      <t>キュウスイ</t>
    </rPh>
    <rPh sb="10" eb="12">
      <t>ジンコウ</t>
    </rPh>
    <rPh sb="13" eb="15">
      <t>フキュウ</t>
    </rPh>
    <rPh sb="15" eb="16">
      <t>リツ</t>
    </rPh>
    <rPh sb="16" eb="17">
      <t>オヨ</t>
    </rPh>
    <rPh sb="18" eb="20">
      <t>スイドウ</t>
    </rPh>
    <rPh sb="20" eb="21">
      <t>スウ</t>
    </rPh>
    <phoneticPr fontId="5"/>
  </si>
  <si>
    <t>都道府県名</t>
    <rPh sb="0" eb="4">
      <t>トドウフケン</t>
    </rPh>
    <rPh sb="4" eb="5">
      <t>メイ</t>
    </rPh>
    <phoneticPr fontId="5"/>
  </si>
  <si>
    <t>総人口
（人）
[a]</t>
    <rPh sb="5" eb="6">
      <t>ニン</t>
    </rPh>
    <phoneticPr fontId="5"/>
  </si>
  <si>
    <t>給水人口
（人）</t>
    <rPh sb="6" eb="7">
      <t>ニン</t>
    </rPh>
    <phoneticPr fontId="5"/>
  </si>
  <si>
    <t>普及率
（％）</t>
    <phoneticPr fontId="5"/>
  </si>
  <si>
    <t>水道数
（箇所）</t>
    <rPh sb="0" eb="2">
      <t>スイドウ</t>
    </rPh>
    <rPh sb="2" eb="3">
      <t>スウ</t>
    </rPh>
    <rPh sb="5" eb="7">
      <t>カショ</t>
    </rPh>
    <phoneticPr fontId="5"/>
  </si>
  <si>
    <t>上水道</t>
    <phoneticPr fontId="5"/>
  </si>
  <si>
    <t>簡易水道</t>
    <phoneticPr fontId="5"/>
  </si>
  <si>
    <t>専用水道</t>
  </si>
  <si>
    <t>計
[b]</t>
    <phoneticPr fontId="5"/>
  </si>
  <si>
    <t>b/a</t>
    <phoneticPr fontId="5"/>
  </si>
  <si>
    <t>順位</t>
    <phoneticPr fontId="5"/>
  </si>
  <si>
    <t>用水
供給</t>
    <rPh sb="0" eb="2">
      <t>ヨウスイ</t>
    </rPh>
    <rPh sb="3" eb="5">
      <t>キョウキュウ</t>
    </rPh>
    <phoneticPr fontId="5"/>
  </si>
  <si>
    <t>上水道</t>
    <rPh sb="0" eb="1">
      <t>ジョウ</t>
    </rPh>
    <rPh sb="1" eb="3">
      <t>スイドウ</t>
    </rPh>
    <phoneticPr fontId="5"/>
  </si>
  <si>
    <t>順位</t>
    <rPh sb="0" eb="2">
      <t>ジュンイ</t>
    </rPh>
    <phoneticPr fontId="5"/>
  </si>
  <si>
    <t>簡易
水道</t>
    <rPh sb="0" eb="2">
      <t>カンイ</t>
    </rPh>
    <rPh sb="3" eb="5">
      <t>スイドウ</t>
    </rPh>
    <phoneticPr fontId="5"/>
  </si>
  <si>
    <t>専用
水道</t>
    <rPh sb="0" eb="2">
      <t>センヨウ</t>
    </rPh>
    <rPh sb="3" eb="5">
      <t>スイドウ</t>
    </rPh>
    <phoneticPr fontId="5"/>
  </si>
  <si>
    <t>北海道</t>
    <phoneticPr fontId="5"/>
  </si>
  <si>
    <t>青森</t>
    <phoneticPr fontId="5"/>
  </si>
  <si>
    <t>岩手</t>
    <phoneticPr fontId="5"/>
  </si>
  <si>
    <t>宮城</t>
    <phoneticPr fontId="5"/>
  </si>
  <si>
    <t>秋田</t>
    <phoneticPr fontId="5"/>
  </si>
  <si>
    <t>山形</t>
    <phoneticPr fontId="5"/>
  </si>
  <si>
    <t>福島</t>
    <phoneticPr fontId="5"/>
  </si>
  <si>
    <t>茨城</t>
    <phoneticPr fontId="5"/>
  </si>
  <si>
    <t>栃木</t>
    <rPh sb="0" eb="2">
      <t>トチギ</t>
    </rPh>
    <phoneticPr fontId="5"/>
  </si>
  <si>
    <t>群馬</t>
    <rPh sb="0" eb="2">
      <t>グンマ</t>
    </rPh>
    <phoneticPr fontId="5"/>
  </si>
  <si>
    <t>埼玉</t>
    <rPh sb="0" eb="2">
      <t>サイタマ</t>
    </rPh>
    <phoneticPr fontId="5"/>
  </si>
  <si>
    <t>千葉</t>
    <rPh sb="0" eb="2">
      <t>チバ</t>
    </rPh>
    <phoneticPr fontId="5"/>
  </si>
  <si>
    <t>東京</t>
    <rPh sb="0" eb="2">
      <t>トウキョウ</t>
    </rPh>
    <phoneticPr fontId="5"/>
  </si>
  <si>
    <t>神奈川</t>
    <rPh sb="0" eb="3">
      <t>カナガワ</t>
    </rPh>
    <phoneticPr fontId="5"/>
  </si>
  <si>
    <t>新潟</t>
    <rPh sb="0" eb="2">
      <t>ニイガタ</t>
    </rPh>
    <phoneticPr fontId="5"/>
  </si>
  <si>
    <t>富山</t>
    <rPh sb="0" eb="2">
      <t>トヤマ</t>
    </rPh>
    <phoneticPr fontId="5"/>
  </si>
  <si>
    <t>石川</t>
    <rPh sb="0" eb="2">
      <t>イシカワ</t>
    </rPh>
    <phoneticPr fontId="5"/>
  </si>
  <si>
    <t>福井</t>
    <rPh sb="0" eb="2">
      <t>フクイ</t>
    </rPh>
    <phoneticPr fontId="5"/>
  </si>
  <si>
    <t>山梨</t>
    <rPh sb="0" eb="2">
      <t>ヤマナシ</t>
    </rPh>
    <phoneticPr fontId="5"/>
  </si>
  <si>
    <t>長野</t>
    <rPh sb="0" eb="2">
      <t>ナガノ</t>
    </rPh>
    <phoneticPr fontId="6"/>
  </si>
  <si>
    <t>長野</t>
    <rPh sb="0" eb="2">
      <t>ナガノ</t>
    </rPh>
    <phoneticPr fontId="5"/>
  </si>
  <si>
    <t>岐阜</t>
    <rPh sb="0" eb="2">
      <t>ギフ</t>
    </rPh>
    <phoneticPr fontId="5"/>
  </si>
  <si>
    <t>静岡</t>
    <rPh sb="0" eb="2">
      <t>シズオカ</t>
    </rPh>
    <phoneticPr fontId="5"/>
  </si>
  <si>
    <t>愛知</t>
    <rPh sb="0" eb="2">
      <t>アイチ</t>
    </rPh>
    <phoneticPr fontId="5"/>
  </si>
  <si>
    <t>三重</t>
    <rPh sb="0" eb="2">
      <t>ミエ</t>
    </rPh>
    <phoneticPr fontId="5"/>
  </si>
  <si>
    <t>滋賀</t>
    <rPh sb="0" eb="2">
      <t>シガ</t>
    </rPh>
    <phoneticPr fontId="5"/>
  </si>
  <si>
    <t>京都</t>
    <rPh sb="0" eb="2">
      <t>キョウト</t>
    </rPh>
    <phoneticPr fontId="5"/>
  </si>
  <si>
    <t>大阪</t>
    <rPh sb="0" eb="2">
      <t>オオサカ</t>
    </rPh>
    <phoneticPr fontId="5"/>
  </si>
  <si>
    <t>兵庫</t>
    <rPh sb="0" eb="2">
      <t>ヒョウゴ</t>
    </rPh>
    <phoneticPr fontId="5"/>
  </si>
  <si>
    <t>奈良</t>
    <rPh sb="0" eb="2">
      <t>ナラ</t>
    </rPh>
    <phoneticPr fontId="5"/>
  </si>
  <si>
    <t>和歌山</t>
    <rPh sb="0" eb="3">
      <t>ワカヤマ</t>
    </rPh>
    <phoneticPr fontId="5"/>
  </si>
  <si>
    <t>鳥取</t>
    <rPh sb="0" eb="2">
      <t>トットリ</t>
    </rPh>
    <phoneticPr fontId="5"/>
  </si>
  <si>
    <t>島根</t>
    <rPh sb="0" eb="2">
      <t>シマネ</t>
    </rPh>
    <phoneticPr fontId="5"/>
  </si>
  <si>
    <t>岡山</t>
    <rPh sb="0" eb="2">
      <t>オカヤマ</t>
    </rPh>
    <phoneticPr fontId="5"/>
  </si>
  <si>
    <t>広島</t>
    <rPh sb="0" eb="2">
      <t>ヒロシマ</t>
    </rPh>
    <phoneticPr fontId="5"/>
  </si>
  <si>
    <t>山口</t>
    <rPh sb="0" eb="2">
      <t>ヤマグチ</t>
    </rPh>
    <phoneticPr fontId="5"/>
  </si>
  <si>
    <t>徳島</t>
    <rPh sb="0" eb="2">
      <t>トクシマ</t>
    </rPh>
    <phoneticPr fontId="5"/>
  </si>
  <si>
    <t>香川</t>
    <rPh sb="0" eb="2">
      <t>カガワ</t>
    </rPh>
    <phoneticPr fontId="5"/>
  </si>
  <si>
    <t>愛媛</t>
    <rPh sb="0" eb="2">
      <t>エヒメ</t>
    </rPh>
    <phoneticPr fontId="5"/>
  </si>
  <si>
    <t>高知</t>
    <rPh sb="0" eb="2">
      <t>コウチ</t>
    </rPh>
    <phoneticPr fontId="5"/>
  </si>
  <si>
    <t>福岡</t>
    <rPh sb="0" eb="2">
      <t>フクオカ</t>
    </rPh>
    <phoneticPr fontId="5"/>
  </si>
  <si>
    <t>佐賀</t>
    <rPh sb="0" eb="2">
      <t>サガ</t>
    </rPh>
    <phoneticPr fontId="5"/>
  </si>
  <si>
    <t>長崎</t>
    <rPh sb="0" eb="2">
      <t>ナガサキ</t>
    </rPh>
    <phoneticPr fontId="5"/>
  </si>
  <si>
    <t>熊本</t>
    <rPh sb="0" eb="2">
      <t>クマモト</t>
    </rPh>
    <phoneticPr fontId="5"/>
  </si>
  <si>
    <t>大分</t>
    <rPh sb="0" eb="2">
      <t>オオイタ</t>
    </rPh>
    <phoneticPr fontId="5"/>
  </si>
  <si>
    <t>宮崎</t>
    <rPh sb="0" eb="2">
      <t>ミヤザキ</t>
    </rPh>
    <phoneticPr fontId="5"/>
  </si>
  <si>
    <t>鹿児島</t>
    <rPh sb="0" eb="3">
      <t>カゴシマ</t>
    </rPh>
    <phoneticPr fontId="5"/>
  </si>
  <si>
    <t>沖縄</t>
    <rPh sb="0" eb="2">
      <t>オキナワ</t>
    </rPh>
    <phoneticPr fontId="5"/>
  </si>
  <si>
    <t>５．地域振興局別の箇所数、給水人口及び普及率</t>
    <rPh sb="2" eb="4">
      <t>チイキ</t>
    </rPh>
    <rPh sb="4" eb="6">
      <t>シンコウ</t>
    </rPh>
    <rPh sb="6" eb="7">
      <t>キョク</t>
    </rPh>
    <rPh sb="7" eb="8">
      <t>ベツ</t>
    </rPh>
    <rPh sb="9" eb="11">
      <t>カショ</t>
    </rPh>
    <rPh sb="11" eb="12">
      <t>スウ</t>
    </rPh>
    <rPh sb="13" eb="15">
      <t>キュウスイ</t>
    </rPh>
    <rPh sb="15" eb="17">
      <t>ジンコウ</t>
    </rPh>
    <rPh sb="17" eb="18">
      <t>オヨ</t>
    </rPh>
    <rPh sb="19" eb="21">
      <t>フキュウ</t>
    </rPh>
    <rPh sb="21" eb="22">
      <t>リツ</t>
    </rPh>
    <phoneticPr fontId="30"/>
  </si>
  <si>
    <t>地域振興局</t>
    <rPh sb="0" eb="5">
      <t>チイキシンコウキョク</t>
    </rPh>
    <phoneticPr fontId="30"/>
  </si>
  <si>
    <t>行政区域内総人口</t>
    <rPh sb="5" eb="8">
      <t>ソウジンコウ</t>
    </rPh>
    <phoneticPr fontId="30"/>
  </si>
  <si>
    <t>上　　水　　道</t>
    <phoneticPr fontId="30"/>
  </si>
  <si>
    <t>簡　易　水　道</t>
    <phoneticPr fontId="30"/>
  </si>
  <si>
    <t>専　用　水　道</t>
    <phoneticPr fontId="30"/>
  </si>
  <si>
    <t>合　　　　　計</t>
    <phoneticPr fontId="30"/>
  </si>
  <si>
    <t>普及率</t>
  </si>
  <si>
    <t>小 規 模 水 道 （ 法 定 外 ）</t>
    <rPh sb="0" eb="5">
      <t>ショウキボ</t>
    </rPh>
    <rPh sb="6" eb="9">
      <t>スイドウ</t>
    </rPh>
    <rPh sb="12" eb="17">
      <t>ホウテイガイ</t>
    </rPh>
    <phoneticPr fontId="30"/>
  </si>
  <si>
    <t>自己水源のみ</t>
    <phoneticPr fontId="30"/>
  </si>
  <si>
    <t>他から受水あり</t>
    <rPh sb="0" eb="1">
      <t>タ</t>
    </rPh>
    <rPh sb="3" eb="5">
      <t>ジュスイ</t>
    </rPh>
    <phoneticPr fontId="30"/>
  </si>
  <si>
    <t>飲料水供給施設</t>
    <rPh sb="0" eb="3">
      <t>インリョウスイ</t>
    </rPh>
    <rPh sb="3" eb="5">
      <t>キョウキュウ</t>
    </rPh>
    <rPh sb="5" eb="7">
      <t>シセツ</t>
    </rPh>
    <phoneticPr fontId="30"/>
  </si>
  <si>
    <t>簡易給水施設</t>
    <rPh sb="0" eb="2">
      <t>カンイ</t>
    </rPh>
    <rPh sb="2" eb="4">
      <t>キュウスイ</t>
    </rPh>
    <rPh sb="4" eb="6">
      <t>シセツ</t>
    </rPh>
    <phoneticPr fontId="30"/>
  </si>
  <si>
    <t>箇 所 数</t>
    <phoneticPr fontId="30"/>
  </si>
  <si>
    <t>計　画
給水人口</t>
    <rPh sb="6" eb="8">
      <t>ジンコウ</t>
    </rPh>
    <phoneticPr fontId="30"/>
  </si>
  <si>
    <t>現　在
給水人口</t>
    <rPh sb="6" eb="8">
      <t>ジンコウ</t>
    </rPh>
    <phoneticPr fontId="30"/>
  </si>
  <si>
    <t>箇所数</t>
  </si>
  <si>
    <t>確認時
給水人口</t>
    <rPh sb="4" eb="6">
      <t>キュウスイ</t>
    </rPh>
    <rPh sb="6" eb="8">
      <t>ジンコウ</t>
    </rPh>
    <phoneticPr fontId="30"/>
  </si>
  <si>
    <t>現　在
給水人口</t>
    <rPh sb="4" eb="6">
      <t>キュウスイ</t>
    </rPh>
    <rPh sb="6" eb="8">
      <t>ジンコウ</t>
    </rPh>
    <phoneticPr fontId="30"/>
  </si>
  <si>
    <t>箇 所 数</t>
  </si>
  <si>
    <t>箇所
数</t>
    <phoneticPr fontId="30"/>
  </si>
  <si>
    <t>①</t>
  </si>
  <si>
    <t>②</t>
    <phoneticPr fontId="30"/>
  </si>
  <si>
    <t>③</t>
  </si>
  <si>
    <t>④</t>
  </si>
  <si>
    <t>⑤</t>
    <phoneticPr fontId="30"/>
  </si>
  <si>
    <t>⑥</t>
  </si>
  <si>
    <t>⑦</t>
  </si>
  <si>
    <t>⑧</t>
  </si>
  <si>
    <t>⑨</t>
  </si>
  <si>
    <t>⑩</t>
  </si>
  <si>
    <t>⑪</t>
  </si>
  <si>
    <t>⑫</t>
  </si>
  <si>
    <t>⑬</t>
  </si>
  <si>
    <t>②+⑤+⑧</t>
    <phoneticPr fontId="30"/>
  </si>
  <si>
    <t>③+⑥+⑨</t>
  </si>
  <si>
    <t>④+⑦+⑩</t>
  </si>
  <si>
    <t>⑭/①</t>
  </si>
  <si>
    <t>人</t>
  </si>
  <si>
    <t>ｹ所</t>
  </si>
  <si>
    <t>+⑪</t>
    <phoneticPr fontId="30"/>
  </si>
  <si>
    <t>ｹ所</t>
    <rPh sb="1" eb="2">
      <t>カショ</t>
    </rPh>
    <phoneticPr fontId="30"/>
  </si>
  <si>
    <t xml:space="preserve"> =⑭   人</t>
  </si>
  <si>
    <t>×100％</t>
  </si>
  <si>
    <t>佐　久</t>
    <phoneticPr fontId="30"/>
  </si>
  <si>
    <t>上　田</t>
    <rPh sb="0" eb="1">
      <t>ウエ</t>
    </rPh>
    <rPh sb="2" eb="3">
      <t>タ</t>
    </rPh>
    <phoneticPr fontId="30"/>
  </si>
  <si>
    <t>諏　訪</t>
    <phoneticPr fontId="30"/>
  </si>
  <si>
    <t>上伊那</t>
    <rPh sb="0" eb="3">
      <t>カミイナ</t>
    </rPh>
    <phoneticPr fontId="30"/>
  </si>
  <si>
    <t>南信州</t>
    <rPh sb="0" eb="1">
      <t>ミナミ</t>
    </rPh>
    <rPh sb="1" eb="3">
      <t>シンシュウ</t>
    </rPh>
    <phoneticPr fontId="30"/>
  </si>
  <si>
    <t>木　曽</t>
    <phoneticPr fontId="30"/>
  </si>
  <si>
    <t>松　本</t>
    <phoneticPr fontId="30"/>
  </si>
  <si>
    <t>北アルプス</t>
    <rPh sb="0" eb="1">
      <t>キタ</t>
    </rPh>
    <phoneticPr fontId="30"/>
  </si>
  <si>
    <t>長　野</t>
    <rPh sb="0" eb="1">
      <t>チョウ</t>
    </rPh>
    <rPh sb="2" eb="3">
      <t>ノ</t>
    </rPh>
    <phoneticPr fontId="30"/>
  </si>
  <si>
    <t>北　信</t>
    <phoneticPr fontId="30"/>
  </si>
  <si>
    <t>計</t>
    <phoneticPr fontId="30"/>
  </si>
  <si>
    <t xml:space="preserve">上段 </t>
    <rPh sb="0" eb="2">
      <t>ジョウダン</t>
    </rPh>
    <phoneticPr fontId="30"/>
  </si>
  <si>
    <t>公　営</t>
    <rPh sb="0" eb="3">
      <t>コウエイ</t>
    </rPh>
    <phoneticPr fontId="30"/>
  </si>
  <si>
    <t>※現在給水人口は、法定水道事業と重複して給水を受けている人口を除く</t>
    <rPh sb="1" eb="3">
      <t>ゲンザイ</t>
    </rPh>
    <rPh sb="3" eb="5">
      <t>キュウスイ</t>
    </rPh>
    <rPh sb="5" eb="7">
      <t>ジンコウ</t>
    </rPh>
    <rPh sb="9" eb="11">
      <t>ホウテイ</t>
    </rPh>
    <rPh sb="11" eb="13">
      <t>スイドウ</t>
    </rPh>
    <rPh sb="13" eb="15">
      <t>ジギョウ</t>
    </rPh>
    <rPh sb="16" eb="18">
      <t>チョウフク</t>
    </rPh>
    <rPh sb="28" eb="30">
      <t>ジンコウ</t>
    </rPh>
    <rPh sb="31" eb="32">
      <t>ノゾ</t>
    </rPh>
    <phoneticPr fontId="30"/>
  </si>
  <si>
    <t xml:space="preserve">中段 </t>
    <rPh sb="0" eb="2">
      <t>チュウダン</t>
    </rPh>
    <phoneticPr fontId="30"/>
  </si>
  <si>
    <t>その他</t>
    <rPh sb="0" eb="3">
      <t>ソノタ</t>
    </rPh>
    <phoneticPr fontId="30"/>
  </si>
  <si>
    <t>（　）内は複数の市町村にまたがる水道の内数</t>
    <rPh sb="5" eb="7">
      <t>フクスウ</t>
    </rPh>
    <rPh sb="8" eb="9">
      <t>シ</t>
    </rPh>
    <rPh sb="19" eb="20">
      <t>ウチ</t>
    </rPh>
    <phoneticPr fontId="30"/>
  </si>
  <si>
    <t xml:space="preserve">下段 </t>
    <rPh sb="0" eb="2">
      <t>カダン</t>
    </rPh>
    <phoneticPr fontId="30"/>
  </si>
  <si>
    <t>計</t>
    <rPh sb="0" eb="1">
      <t>ケイ</t>
    </rPh>
    <phoneticPr fontId="30"/>
  </si>
  <si>
    <t>６．市町村別の箇所数、給水人口及び普及率</t>
    <rPh sb="2" eb="5">
      <t>シチョウソン</t>
    </rPh>
    <rPh sb="5" eb="6">
      <t>ベツ</t>
    </rPh>
    <rPh sb="7" eb="9">
      <t>カショ</t>
    </rPh>
    <rPh sb="9" eb="10">
      <t>スウ</t>
    </rPh>
    <rPh sb="11" eb="13">
      <t>キュウスイ</t>
    </rPh>
    <rPh sb="13" eb="15">
      <t>ジンコウ</t>
    </rPh>
    <rPh sb="15" eb="16">
      <t>オヨ</t>
    </rPh>
    <rPh sb="17" eb="19">
      <t>フキュウ</t>
    </rPh>
    <rPh sb="19" eb="20">
      <t>リツ</t>
    </rPh>
    <phoneticPr fontId="30"/>
  </si>
  <si>
    <t>地域振興局</t>
    <rPh sb="0" eb="2">
      <t>チイキ</t>
    </rPh>
    <rPh sb="2" eb="4">
      <t>シンコウ</t>
    </rPh>
    <rPh sb="4" eb="5">
      <t>キョク</t>
    </rPh>
    <phoneticPr fontId="30"/>
  </si>
  <si>
    <t>専　用　水　道</t>
    <rPh sb="0" eb="3">
      <t>センヨウ</t>
    </rPh>
    <rPh sb="4" eb="7">
      <t>スイドウ</t>
    </rPh>
    <phoneticPr fontId="30"/>
  </si>
  <si>
    <t>普　及　率</t>
    <phoneticPr fontId="30"/>
  </si>
  <si>
    <t>小規模水道（法定外）</t>
    <phoneticPr fontId="30"/>
  </si>
  <si>
    <t>市町村名</t>
  </si>
  <si>
    <t>行政区域</t>
    <phoneticPr fontId="30"/>
  </si>
  <si>
    <t>他から受水あり</t>
    <rPh sb="0" eb="1">
      <t>タ</t>
    </rPh>
    <rPh sb="3" eb="4">
      <t>ジュ</t>
    </rPh>
    <rPh sb="4" eb="5">
      <t>スイ</t>
    </rPh>
    <phoneticPr fontId="30"/>
  </si>
  <si>
    <t>飲料水供給施設</t>
  </si>
  <si>
    <t>簡易給水施設</t>
  </si>
  <si>
    <t>内総人口</t>
    <rPh sb="0" eb="1">
      <t>ナイ</t>
    </rPh>
    <phoneticPr fontId="30"/>
  </si>
  <si>
    <t>箇所数</t>
    <phoneticPr fontId="30"/>
  </si>
  <si>
    <t>②+⑤+⑧</t>
  </si>
  <si>
    <t>+⑪  ｹ所</t>
  </si>
  <si>
    <t>佐</t>
  </si>
  <si>
    <t>小諸市</t>
    <rPh sb="0" eb="2">
      <t>コモロ</t>
    </rPh>
    <rPh sb="2" eb="3">
      <t>シ</t>
    </rPh>
    <phoneticPr fontId="38"/>
  </si>
  <si>
    <t>久</t>
  </si>
  <si>
    <t>佐久市</t>
  </si>
  <si>
    <t>小海町</t>
    <rPh sb="0" eb="3">
      <t>コウミマチ</t>
    </rPh>
    <phoneticPr fontId="30"/>
  </si>
  <si>
    <t>佐久穂町</t>
    <rPh sb="2" eb="3">
      <t>ホ</t>
    </rPh>
    <phoneticPr fontId="30"/>
  </si>
  <si>
    <t>川上村</t>
  </si>
  <si>
    <t>南牧村</t>
  </si>
  <si>
    <t>南相木村</t>
  </si>
  <si>
    <t>北相木村</t>
  </si>
  <si>
    <t>軽井沢町</t>
  </si>
  <si>
    <t>御代田町</t>
  </si>
  <si>
    <t>立科町</t>
  </si>
  <si>
    <t>上</t>
    <rPh sb="0" eb="1">
      <t>ウエ</t>
    </rPh>
    <phoneticPr fontId="30"/>
  </si>
  <si>
    <t>上田市</t>
  </si>
  <si>
    <t>田</t>
    <rPh sb="0" eb="1">
      <t>タ</t>
    </rPh>
    <phoneticPr fontId="30"/>
  </si>
  <si>
    <t>東御市</t>
    <rPh sb="0" eb="3">
      <t>トウミシ</t>
    </rPh>
    <phoneticPr fontId="30"/>
  </si>
  <si>
    <t>長和町</t>
    <rPh sb="0" eb="2">
      <t>ナガワ</t>
    </rPh>
    <rPh sb="2" eb="3">
      <t>マチ</t>
    </rPh>
    <phoneticPr fontId="30"/>
  </si>
  <si>
    <t>青木村</t>
  </si>
  <si>
    <t>諏</t>
  </si>
  <si>
    <t>岡谷市</t>
  </si>
  <si>
    <t>訪</t>
  </si>
  <si>
    <t>諏訪市</t>
  </si>
  <si>
    <t>茅野市</t>
  </si>
  <si>
    <t>下諏訪町</t>
  </si>
  <si>
    <t>富士見町</t>
  </si>
  <si>
    <t>原村</t>
    <phoneticPr fontId="38"/>
  </si>
  <si>
    <t>伊那市</t>
  </si>
  <si>
    <t>伊</t>
    <rPh sb="0" eb="1">
      <t>イ</t>
    </rPh>
    <phoneticPr fontId="30"/>
  </si>
  <si>
    <t>那</t>
    <rPh sb="0" eb="1">
      <t>トモ</t>
    </rPh>
    <phoneticPr fontId="30"/>
  </si>
  <si>
    <t>駒ヶ根市</t>
    <phoneticPr fontId="38"/>
  </si>
  <si>
    <t>辰野町</t>
  </si>
  <si>
    <t>箕輪町</t>
  </si>
  <si>
    <t>飯島町</t>
  </si>
  <si>
    <t>南箕輪村</t>
  </si>
  <si>
    <t>中川村</t>
  </si>
  <si>
    <t>宮田村</t>
  </si>
  <si>
    <t>南</t>
    <rPh sb="0" eb="1">
      <t>ミナミ</t>
    </rPh>
    <phoneticPr fontId="30"/>
  </si>
  <si>
    <t>飯田市</t>
  </si>
  <si>
    <t>信</t>
    <rPh sb="0" eb="1">
      <t>シン</t>
    </rPh>
    <phoneticPr fontId="30"/>
  </si>
  <si>
    <t>州</t>
    <rPh sb="0" eb="1">
      <t>シュウ</t>
    </rPh>
    <phoneticPr fontId="30"/>
  </si>
  <si>
    <t>松川町</t>
  </si>
  <si>
    <t>高森町</t>
  </si>
  <si>
    <t>阿南町</t>
  </si>
  <si>
    <t>阿智村</t>
  </si>
  <si>
    <t>平谷村</t>
  </si>
  <si>
    <t>根羽村</t>
  </si>
  <si>
    <t>下條村</t>
  </si>
  <si>
    <t>売木村</t>
  </si>
  <si>
    <t>天龍村</t>
  </si>
  <si>
    <t>泰阜村</t>
  </si>
  <si>
    <t>喬木村</t>
  </si>
  <si>
    <t>豊丘村</t>
  </si>
  <si>
    <t>大鹿村</t>
  </si>
  <si>
    <t>木</t>
  </si>
  <si>
    <t>上松町</t>
  </si>
  <si>
    <t>曽</t>
  </si>
  <si>
    <t>南木曽町</t>
  </si>
  <si>
    <t>木曽町</t>
  </si>
  <si>
    <t>木祖村</t>
  </si>
  <si>
    <t>王滝村</t>
  </si>
  <si>
    <t>大桑村</t>
  </si>
  <si>
    <t>松</t>
  </si>
  <si>
    <t>松本市</t>
  </si>
  <si>
    <t>本</t>
  </si>
  <si>
    <t>塩尻市</t>
  </si>
  <si>
    <t>安曇野市</t>
  </si>
  <si>
    <t>麻績村</t>
  </si>
  <si>
    <t>生坂村</t>
  </si>
  <si>
    <t>山形村</t>
  </si>
  <si>
    <t>朝日村</t>
  </si>
  <si>
    <t>筑北村</t>
  </si>
  <si>
    <t>北</t>
    <phoneticPr fontId="30"/>
  </si>
  <si>
    <t>大町市</t>
  </si>
  <si>
    <t>ア</t>
    <phoneticPr fontId="30"/>
  </si>
  <si>
    <t>ル</t>
    <phoneticPr fontId="30"/>
  </si>
  <si>
    <t>池田町</t>
  </si>
  <si>
    <t>プ</t>
    <phoneticPr fontId="38"/>
  </si>
  <si>
    <t>ス</t>
    <phoneticPr fontId="38"/>
  </si>
  <si>
    <t>松川村</t>
  </si>
  <si>
    <t>白馬村</t>
  </si>
  <si>
    <t>小谷村</t>
  </si>
  <si>
    <t>長</t>
  </si>
  <si>
    <t>長野市</t>
  </si>
  <si>
    <t>野</t>
  </si>
  <si>
    <t>須坂市</t>
  </si>
  <si>
    <t>千曲市</t>
  </si>
  <si>
    <t>坂城町</t>
  </si>
  <si>
    <t>小布施町</t>
  </si>
  <si>
    <t>高山村</t>
  </si>
  <si>
    <t>信濃町</t>
  </si>
  <si>
    <t>飯綱町</t>
  </si>
  <si>
    <t>小川村</t>
  </si>
  <si>
    <t>北</t>
  </si>
  <si>
    <t>中野市</t>
  </si>
  <si>
    <t>信</t>
  </si>
  <si>
    <t>飯山市</t>
  </si>
  <si>
    <t>山ノ内町</t>
  </si>
  <si>
    <t>木島平村</t>
  </si>
  <si>
    <t>野沢温泉村</t>
  </si>
  <si>
    <t>栄村</t>
    <phoneticPr fontId="38"/>
  </si>
  <si>
    <t>県</t>
    <rPh sb="0" eb="1">
      <t>ケン</t>
    </rPh>
    <phoneticPr fontId="30"/>
  </si>
  <si>
    <t>全</t>
    <rPh sb="0" eb="1">
      <t>ゼン</t>
    </rPh>
    <phoneticPr fontId="30"/>
  </si>
  <si>
    <t>市</t>
  </si>
  <si>
    <t>体</t>
    <rPh sb="0" eb="1">
      <t>タイ</t>
    </rPh>
    <phoneticPr fontId="30"/>
  </si>
  <si>
    <t>町</t>
  </si>
  <si>
    <t>村</t>
  </si>
  <si>
    <t>※現在給水人口は、法定水道事業と重複して給水</t>
    <rPh sb="1" eb="3">
      <t>ゲンザイ</t>
    </rPh>
    <rPh sb="3" eb="5">
      <t>キュウスイ</t>
    </rPh>
    <rPh sb="5" eb="7">
      <t>ジンコウ</t>
    </rPh>
    <rPh sb="9" eb="11">
      <t>ホウテイ</t>
    </rPh>
    <rPh sb="11" eb="13">
      <t>スイドウ</t>
    </rPh>
    <rPh sb="13" eb="15">
      <t>ジギョウ</t>
    </rPh>
    <rPh sb="16" eb="18">
      <t>チョウフク</t>
    </rPh>
    <phoneticPr fontId="30"/>
  </si>
  <si>
    <t>　を受けている人口を除く。　</t>
    <rPh sb="7" eb="9">
      <t>ジンコウ</t>
    </rPh>
    <phoneticPr fontId="30"/>
  </si>
  <si>
    <t>※広域水道は主な事業所所在地に計上</t>
    <rPh sb="1" eb="3">
      <t>コウイキ</t>
    </rPh>
    <rPh sb="3" eb="5">
      <t>スイドウ</t>
    </rPh>
    <rPh sb="6" eb="7">
      <t>オモ</t>
    </rPh>
    <rPh sb="8" eb="11">
      <t>ジギョウショ</t>
    </rPh>
    <rPh sb="11" eb="14">
      <t>ショザイチ</t>
    </rPh>
    <rPh sb="15" eb="17">
      <t>ケイジョウ</t>
    </rPh>
    <phoneticPr fontId="30"/>
  </si>
  <si>
    <t>７．給水量の推移</t>
    <rPh sb="2" eb="5">
      <t>キュウスイリョウ</t>
    </rPh>
    <rPh sb="6" eb="8">
      <t>スイイ</t>
    </rPh>
    <phoneticPr fontId="5"/>
  </si>
  <si>
    <t>年
度</t>
    <rPh sb="3" eb="4">
      <t>ド</t>
    </rPh>
    <phoneticPr fontId="5"/>
  </si>
  <si>
    <t>年間給水量
（分水量を除く）</t>
    <rPh sb="0" eb="2">
      <t>ネンカン</t>
    </rPh>
    <rPh sb="2" eb="3">
      <t>キュウ</t>
    </rPh>
    <rPh sb="3" eb="5">
      <t>スイリョウ</t>
    </rPh>
    <rPh sb="7" eb="8">
      <t>ブン</t>
    </rPh>
    <rPh sb="8" eb="10">
      <t>スイリョウ</t>
    </rPh>
    <rPh sb="11" eb="12">
      <t>ノゾ</t>
    </rPh>
    <phoneticPr fontId="5"/>
  </si>
  <si>
    <t>一日給水量
（分水量を含む）</t>
    <rPh sb="0" eb="2">
      <t>イチニチ</t>
    </rPh>
    <rPh sb="2" eb="3">
      <t>キュウ</t>
    </rPh>
    <rPh sb="3" eb="5">
      <t>スイリョウ</t>
    </rPh>
    <rPh sb="7" eb="8">
      <t>ブン</t>
    </rPh>
    <rPh sb="8" eb="10">
      <t>スイリョウ</t>
    </rPh>
    <rPh sb="11" eb="12">
      <t>フク</t>
    </rPh>
    <phoneticPr fontId="5"/>
  </si>
  <si>
    <t>一人一日給水量
（分水量を除く）</t>
    <rPh sb="0" eb="2">
      <t>ヒトリ</t>
    </rPh>
    <rPh sb="2" eb="4">
      <t>イチニチ</t>
    </rPh>
    <rPh sb="4" eb="5">
      <t>キュウ</t>
    </rPh>
    <rPh sb="5" eb="7">
      <t>スイリョウ</t>
    </rPh>
    <rPh sb="9" eb="10">
      <t>ブン</t>
    </rPh>
    <rPh sb="10" eb="12">
      <t>スイリョウ</t>
    </rPh>
    <rPh sb="13" eb="14">
      <t>ノゾ</t>
    </rPh>
    <phoneticPr fontId="5"/>
  </si>
  <si>
    <t>比率
（分水量を除く）</t>
    <rPh sb="0" eb="2">
      <t>ヒリツ</t>
    </rPh>
    <rPh sb="4" eb="5">
      <t>ブン</t>
    </rPh>
    <rPh sb="5" eb="7">
      <t>スイリョウ</t>
    </rPh>
    <rPh sb="8" eb="9">
      <t>ノゾ</t>
    </rPh>
    <phoneticPr fontId="5"/>
  </si>
  <si>
    <t>年間給水量</t>
    <rPh sb="0" eb="2">
      <t>ネンカン</t>
    </rPh>
    <rPh sb="2" eb="3">
      <t>キュウ</t>
    </rPh>
    <rPh sb="3" eb="5">
      <t>スイリョウ</t>
    </rPh>
    <phoneticPr fontId="5"/>
  </si>
  <si>
    <t>一日給水量</t>
    <rPh sb="0" eb="2">
      <t>イチニチ</t>
    </rPh>
    <rPh sb="2" eb="3">
      <t>キュウ</t>
    </rPh>
    <rPh sb="3" eb="5">
      <t>スイリョウ</t>
    </rPh>
    <phoneticPr fontId="5"/>
  </si>
  <si>
    <t>一人一日給水量</t>
    <rPh sb="0" eb="2">
      <t>ヒトリ</t>
    </rPh>
    <rPh sb="2" eb="4">
      <t>イチニチ</t>
    </rPh>
    <rPh sb="4" eb="5">
      <t>キュウ</t>
    </rPh>
    <rPh sb="5" eb="7">
      <t>スイリョウ</t>
    </rPh>
    <phoneticPr fontId="5"/>
  </si>
  <si>
    <t>比率</t>
    <rPh sb="0" eb="2">
      <t>ヒリツ</t>
    </rPh>
    <phoneticPr fontId="5"/>
  </si>
  <si>
    <t>有効水量</t>
  </si>
  <si>
    <t>有収水量</t>
  </si>
  <si>
    <t>最大給水量</t>
    <rPh sb="0" eb="2">
      <t>サイダイ</t>
    </rPh>
    <phoneticPr fontId="5"/>
  </si>
  <si>
    <t>平均給水量</t>
    <rPh sb="0" eb="2">
      <t>ヘイキン</t>
    </rPh>
    <phoneticPr fontId="5"/>
  </si>
  <si>
    <t>最大給水量</t>
  </si>
  <si>
    <t>平均給水量</t>
  </si>
  <si>
    <t>有効率</t>
  </si>
  <si>
    <t>有収率</t>
  </si>
  <si>
    <t>負荷率</t>
  </si>
  <si>
    <t>有効水量</t>
    <rPh sb="0" eb="2">
      <t>ユウコウ</t>
    </rPh>
    <rPh sb="2" eb="4">
      <t>スイリョウ</t>
    </rPh>
    <phoneticPr fontId="5"/>
  </si>
  <si>
    <r>
      <t>（千ｍ</t>
    </r>
    <r>
      <rPr>
        <vertAlign val="superscript"/>
        <sz val="10"/>
        <color indexed="8"/>
        <rFont val="ＭＳ Ｐゴシック"/>
        <family val="3"/>
        <charset val="128"/>
      </rPr>
      <t>3</t>
    </r>
    <r>
      <rPr>
        <sz val="10"/>
        <color indexed="8"/>
        <rFont val="ＭＳ Ｐゴシック"/>
        <family val="3"/>
        <charset val="128"/>
      </rPr>
      <t>）</t>
    </r>
    <phoneticPr fontId="5"/>
  </si>
  <si>
    <t>（㍑）</t>
    <phoneticPr fontId="5"/>
  </si>
  <si>
    <t>-</t>
  </si>
  <si>
    <t>８．事業計画概要及び給水対象（用水供給）</t>
    <rPh sb="2" eb="4">
      <t>ジギョウ</t>
    </rPh>
    <rPh sb="4" eb="6">
      <t>ケイカク</t>
    </rPh>
    <rPh sb="6" eb="8">
      <t>ガイヨウ</t>
    </rPh>
    <rPh sb="8" eb="9">
      <t>オヨ</t>
    </rPh>
    <rPh sb="10" eb="12">
      <t>キュウスイ</t>
    </rPh>
    <rPh sb="12" eb="14">
      <t>タイショウ</t>
    </rPh>
    <rPh sb="15" eb="17">
      <t>ヨウスイ</t>
    </rPh>
    <rPh sb="17" eb="19">
      <t>キョウキュウ</t>
    </rPh>
    <phoneticPr fontId="6"/>
  </si>
  <si>
    <t>地域振興局</t>
    <rPh sb="0" eb="5">
      <t>チイキシンコウキョク</t>
    </rPh>
    <phoneticPr fontId="6"/>
  </si>
  <si>
    <t>番号</t>
    <rPh sb="0" eb="2">
      <t>バンゴウ</t>
    </rPh>
    <phoneticPr fontId="6"/>
  </si>
  <si>
    <t>事業体名</t>
    <rPh sb="0" eb="2">
      <t>ジギョウ</t>
    </rPh>
    <rPh sb="2" eb="3">
      <t>タイ</t>
    </rPh>
    <rPh sb="3" eb="4">
      <t>メイ</t>
    </rPh>
    <phoneticPr fontId="6"/>
  </si>
  <si>
    <t>最新事業計画</t>
    <rPh sb="0" eb="2">
      <t>サイシン</t>
    </rPh>
    <rPh sb="2" eb="4">
      <t>ジギョウ</t>
    </rPh>
    <rPh sb="4" eb="6">
      <t>ケイカク</t>
    </rPh>
    <phoneticPr fontId="6"/>
  </si>
  <si>
    <t>構成団体数</t>
    <phoneticPr fontId="6"/>
  </si>
  <si>
    <t>給水対象</t>
    <rPh sb="0" eb="2">
      <t>キュウスイ</t>
    </rPh>
    <rPh sb="2" eb="4">
      <t>タイショウ</t>
    </rPh>
    <phoneticPr fontId="6"/>
  </si>
  <si>
    <t>認可年月日</t>
    <rPh sb="0" eb="2">
      <t>ニンカ</t>
    </rPh>
    <phoneticPr fontId="6"/>
  </si>
  <si>
    <t>目標年次</t>
    <phoneticPr fontId="6"/>
  </si>
  <si>
    <r>
      <t>一日最大
給水量
(m</t>
    </r>
    <r>
      <rPr>
        <vertAlign val="superscript"/>
        <sz val="9"/>
        <color indexed="8"/>
        <rFont val="ＭＳ Ｐゴシック"/>
        <family val="3"/>
        <charset val="128"/>
      </rPr>
      <t>3</t>
    </r>
    <r>
      <rPr>
        <sz val="9"/>
        <color indexed="8"/>
        <rFont val="ＭＳ Ｐゴシック"/>
        <family val="3"/>
        <charset val="128"/>
      </rPr>
      <t>)</t>
    </r>
    <phoneticPr fontId="6"/>
  </si>
  <si>
    <t>水道
事業者名</t>
    <rPh sb="0" eb="2">
      <t>スイドウ</t>
    </rPh>
    <rPh sb="3" eb="5">
      <t>ジギョウ</t>
    </rPh>
    <rPh sb="5" eb="6">
      <t>シャ</t>
    </rPh>
    <rPh sb="6" eb="7">
      <t>メイ</t>
    </rPh>
    <phoneticPr fontId="6"/>
  </si>
  <si>
    <r>
      <t>計画一日最大給水量
(m</t>
    </r>
    <r>
      <rPr>
        <vertAlign val="superscript"/>
        <sz val="9"/>
        <color indexed="8"/>
        <rFont val="ＭＳ Ｐゴシック"/>
        <family val="3"/>
        <charset val="128"/>
      </rPr>
      <t>3</t>
    </r>
    <r>
      <rPr>
        <sz val="9"/>
        <color indexed="8"/>
        <rFont val="ＭＳ Ｐゴシック"/>
        <family val="3"/>
        <charset val="128"/>
      </rPr>
      <t>/日)</t>
    </r>
    <rPh sb="14" eb="15">
      <t>ニチ</t>
    </rPh>
    <phoneticPr fontId="6"/>
  </si>
  <si>
    <r>
      <t>実績年間
給水量
(千m</t>
    </r>
    <r>
      <rPr>
        <vertAlign val="superscript"/>
        <sz val="9"/>
        <color indexed="8"/>
        <rFont val="ＭＳ Ｐゴシック"/>
        <family val="3"/>
        <charset val="128"/>
      </rPr>
      <t>3</t>
    </r>
    <r>
      <rPr>
        <sz val="9"/>
        <color indexed="8"/>
        <rFont val="ＭＳ Ｐゴシック"/>
        <family val="3"/>
        <charset val="128"/>
      </rPr>
      <t>)</t>
    </r>
    <phoneticPr fontId="6"/>
  </si>
  <si>
    <t>佐久</t>
    <rPh sb="0" eb="2">
      <t>サク</t>
    </rPh>
    <phoneticPr fontId="6"/>
  </si>
  <si>
    <t>浅麓水道企業団</t>
    <rPh sb="0" eb="1">
      <t>アサ</t>
    </rPh>
    <rPh sb="1" eb="2">
      <t>ロク</t>
    </rPh>
    <rPh sb="2" eb="4">
      <t>スイドウ</t>
    </rPh>
    <rPh sb="4" eb="6">
      <t>キギョウ</t>
    </rPh>
    <rPh sb="6" eb="7">
      <t>ダン</t>
    </rPh>
    <phoneticPr fontId="6"/>
  </si>
  <si>
    <t>小諸市</t>
  </si>
  <si>
    <t>佐久水道企業団</t>
  </si>
  <si>
    <t>㈱プリンスホテル</t>
  </si>
  <si>
    <t>上伊那</t>
    <rPh sb="0" eb="3">
      <t>カミイナ</t>
    </rPh>
    <phoneticPr fontId="6"/>
  </si>
  <si>
    <t>長野県上伊那広域水道用水企業団</t>
    <rPh sb="0" eb="3">
      <t>ナガノケン</t>
    </rPh>
    <rPh sb="3" eb="6">
      <t>カミイナ</t>
    </rPh>
    <rPh sb="6" eb="8">
      <t>コウイキ</t>
    </rPh>
    <rPh sb="8" eb="10">
      <t>スイドウ</t>
    </rPh>
    <rPh sb="10" eb="12">
      <t>ヨウスイ</t>
    </rPh>
    <rPh sb="12" eb="14">
      <t>キギョウ</t>
    </rPh>
    <rPh sb="14" eb="15">
      <t>ダン</t>
    </rPh>
    <phoneticPr fontId="6"/>
  </si>
  <si>
    <t>H4</t>
    <phoneticPr fontId="6"/>
  </si>
  <si>
    <t>駒ヶ根市</t>
  </si>
  <si>
    <t>松本</t>
    <rPh sb="0" eb="2">
      <t>マツモト</t>
    </rPh>
    <phoneticPr fontId="6"/>
  </si>
  <si>
    <t>長野県</t>
    <rPh sb="0" eb="3">
      <t>ナガノケン</t>
    </rPh>
    <phoneticPr fontId="6"/>
  </si>
  <si>
    <t>S60</t>
    <phoneticPr fontId="6"/>
  </si>
  <si>
    <t>山形村</t>
    <rPh sb="0" eb="3">
      <t>ヤマガタムラ</t>
    </rPh>
    <phoneticPr fontId="6"/>
  </si>
  <si>
    <t>北アルプス</t>
    <rPh sb="0" eb="1">
      <t>キタ</t>
    </rPh>
    <phoneticPr fontId="6"/>
  </si>
  <si>
    <t>高瀬広域水道企業団</t>
    <rPh sb="0" eb="2">
      <t>タカセ</t>
    </rPh>
    <rPh sb="2" eb="4">
      <t>コウイキ</t>
    </rPh>
    <rPh sb="4" eb="6">
      <t>スイドウ</t>
    </rPh>
    <rPh sb="6" eb="8">
      <t>キギョウ</t>
    </rPh>
    <rPh sb="8" eb="9">
      <t>ダン</t>
    </rPh>
    <phoneticPr fontId="6"/>
  </si>
  <si>
    <t>S65</t>
    <phoneticPr fontId="6"/>
  </si>
  <si>
    <t>９．取水量、浄水量、給水量及び施設耐震化状況（用水供給）</t>
    <rPh sb="2" eb="4">
      <t>シュスイ</t>
    </rPh>
    <rPh sb="4" eb="5">
      <t>リョウ</t>
    </rPh>
    <rPh sb="6" eb="8">
      <t>ジョウスイ</t>
    </rPh>
    <rPh sb="8" eb="9">
      <t>リョウ</t>
    </rPh>
    <rPh sb="10" eb="11">
      <t>キュウ</t>
    </rPh>
    <rPh sb="11" eb="13">
      <t>スイリョウ</t>
    </rPh>
    <rPh sb="13" eb="14">
      <t>オヨ</t>
    </rPh>
    <rPh sb="15" eb="17">
      <t>シセツ</t>
    </rPh>
    <rPh sb="17" eb="20">
      <t>タイシンカ</t>
    </rPh>
    <rPh sb="20" eb="22">
      <t>ジョウキョウ</t>
    </rPh>
    <rPh sb="23" eb="25">
      <t>ヨウスイ</t>
    </rPh>
    <rPh sb="25" eb="27">
      <t>キョウキュウ</t>
    </rPh>
    <phoneticPr fontId="6"/>
  </si>
  <si>
    <r>
      <t>年間取水量（千m</t>
    </r>
    <r>
      <rPr>
        <vertAlign val="superscript"/>
        <sz val="9"/>
        <rFont val="ＭＳ Ｐゴシック"/>
        <family val="3"/>
        <charset val="128"/>
      </rPr>
      <t>3</t>
    </r>
    <r>
      <rPr>
        <sz val="9"/>
        <rFont val="ＭＳ Ｐゴシック"/>
        <family val="3"/>
        <charset val="128"/>
      </rPr>
      <t>）</t>
    </r>
    <phoneticPr fontId="6"/>
  </si>
  <si>
    <r>
      <t>年間浄水量（千m</t>
    </r>
    <r>
      <rPr>
        <vertAlign val="superscript"/>
        <sz val="9"/>
        <rFont val="ＭＳ Ｐゴシック"/>
        <family val="3"/>
        <charset val="128"/>
      </rPr>
      <t>3</t>
    </r>
    <r>
      <rPr>
        <sz val="9"/>
        <rFont val="ＭＳ Ｐゴシック"/>
        <family val="3"/>
        <charset val="128"/>
      </rPr>
      <t>）</t>
    </r>
    <phoneticPr fontId="6"/>
  </si>
  <si>
    <t>地表水</t>
    <rPh sb="0" eb="2">
      <t>チヒョウ</t>
    </rPh>
    <rPh sb="2" eb="3">
      <t>ミズ</t>
    </rPh>
    <phoneticPr fontId="6"/>
  </si>
  <si>
    <t>計</t>
    <phoneticPr fontId="6"/>
  </si>
  <si>
    <t>うち高度浄水処理等</t>
    <phoneticPr fontId="6"/>
  </si>
  <si>
    <t>ダム</t>
    <phoneticPr fontId="6"/>
  </si>
  <si>
    <t>深井戸水</t>
    <phoneticPr fontId="6"/>
  </si>
  <si>
    <t>湧水</t>
    <phoneticPr fontId="6"/>
  </si>
  <si>
    <r>
      <t>年間用水量（千m</t>
    </r>
    <r>
      <rPr>
        <vertAlign val="superscript"/>
        <sz val="9"/>
        <rFont val="ＭＳ Ｐゴシック"/>
        <family val="3"/>
        <charset val="128"/>
      </rPr>
      <t>3</t>
    </r>
    <r>
      <rPr>
        <sz val="9"/>
        <rFont val="ＭＳ Ｐゴシック"/>
        <family val="3"/>
        <charset val="128"/>
      </rPr>
      <t>）</t>
    </r>
    <phoneticPr fontId="6"/>
  </si>
  <si>
    <r>
      <t>一日当たりの用水量（m</t>
    </r>
    <r>
      <rPr>
        <vertAlign val="superscript"/>
        <sz val="9"/>
        <rFont val="ＭＳ Ｐゴシック"/>
        <family val="3"/>
        <charset val="128"/>
      </rPr>
      <t>3</t>
    </r>
    <r>
      <rPr>
        <sz val="9"/>
        <rFont val="ＭＳ Ｐゴシック"/>
        <family val="3"/>
        <charset val="128"/>
      </rPr>
      <t>）</t>
    </r>
    <rPh sb="6" eb="8">
      <t>ヨウスイ</t>
    </rPh>
    <rPh sb="8" eb="9">
      <t>リョウ</t>
    </rPh>
    <phoneticPr fontId="6"/>
  </si>
  <si>
    <t>比率（給水量）</t>
    <rPh sb="0" eb="2">
      <t>ヒリツ</t>
    </rPh>
    <phoneticPr fontId="6"/>
  </si>
  <si>
    <t>年間
用水量</t>
    <phoneticPr fontId="6"/>
  </si>
  <si>
    <t>有効水量</t>
    <phoneticPr fontId="6"/>
  </si>
  <si>
    <t>有収水量</t>
    <phoneticPr fontId="6"/>
  </si>
  <si>
    <t>計画一日最大給水量</t>
    <phoneticPr fontId="6"/>
  </si>
  <si>
    <t>実績一日最大給水量</t>
    <rPh sb="0" eb="2">
      <t>ジッセキ</t>
    </rPh>
    <phoneticPr fontId="6"/>
  </si>
  <si>
    <t>実績一日平均給水量</t>
    <rPh sb="0" eb="2">
      <t>ジッセキ</t>
    </rPh>
    <phoneticPr fontId="6"/>
  </si>
  <si>
    <t>有効率
（%）</t>
    <phoneticPr fontId="6"/>
  </si>
  <si>
    <t>有収率
（%）</t>
    <phoneticPr fontId="6"/>
  </si>
  <si>
    <t>負荷率（%）</t>
    <rPh sb="0" eb="2">
      <t>フカ</t>
    </rPh>
    <phoneticPr fontId="6"/>
  </si>
  <si>
    <t>浄水場耐震化状況（㎥/日)</t>
    <rPh sb="0" eb="3">
      <t>ジョウスイジョウ</t>
    </rPh>
    <rPh sb="3" eb="6">
      <t>タイシンカ</t>
    </rPh>
    <rPh sb="6" eb="8">
      <t>ジョウキョウ</t>
    </rPh>
    <rPh sb="11" eb="12">
      <t>ニチ</t>
    </rPh>
    <phoneticPr fontId="6"/>
  </si>
  <si>
    <t>総施設
能力
（m3/日）</t>
    <rPh sb="0" eb="1">
      <t>ソウ</t>
    </rPh>
    <rPh sb="1" eb="3">
      <t>シセツ</t>
    </rPh>
    <rPh sb="4" eb="6">
      <t>ノウリョク</t>
    </rPh>
    <rPh sb="11" eb="12">
      <t>ニチ</t>
    </rPh>
    <phoneticPr fontId="43"/>
  </si>
  <si>
    <t>L2対応済み</t>
    <rPh sb="2" eb="4">
      <t>タイオウ</t>
    </rPh>
    <rPh sb="4" eb="5">
      <t>ズ</t>
    </rPh>
    <phoneticPr fontId="43"/>
  </si>
  <si>
    <t>L2未対応</t>
    <rPh sb="2" eb="5">
      <t>ミタイオウ</t>
    </rPh>
    <phoneticPr fontId="43"/>
  </si>
  <si>
    <t>うち未確認</t>
    <rPh sb="2" eb="5">
      <t>ミカクニン</t>
    </rPh>
    <phoneticPr fontId="43"/>
  </si>
  <si>
    <t xml:space="preserve">施設能力
（m3/日） </t>
    <rPh sb="0" eb="2">
      <t>シセツ</t>
    </rPh>
    <rPh sb="2" eb="4">
      <t>ノウリョク</t>
    </rPh>
    <rPh sb="9" eb="10">
      <t>ニチ</t>
    </rPh>
    <phoneticPr fontId="43"/>
  </si>
  <si>
    <t>割合
(%)</t>
    <rPh sb="0" eb="2">
      <t>ワリアイ</t>
    </rPh>
    <phoneticPr fontId="43"/>
  </si>
  <si>
    <t>配水池耐震化状況（㎥/日）</t>
    <rPh sb="0" eb="2">
      <t>ハイスイ</t>
    </rPh>
    <rPh sb="2" eb="3">
      <t>チ</t>
    </rPh>
    <rPh sb="3" eb="6">
      <t>タイシンカ</t>
    </rPh>
    <rPh sb="6" eb="8">
      <t>ジョウキョウ</t>
    </rPh>
    <rPh sb="11" eb="12">
      <t>ニチ</t>
    </rPh>
    <phoneticPr fontId="6"/>
  </si>
  <si>
    <t>総有効
容量
（m3/日)</t>
    <rPh sb="0" eb="1">
      <t>ソウ</t>
    </rPh>
    <rPh sb="1" eb="3">
      <t>ユウコウ</t>
    </rPh>
    <rPh sb="4" eb="6">
      <t>ヨウリョウ</t>
    </rPh>
    <rPh sb="11" eb="12">
      <t>ニチ</t>
    </rPh>
    <phoneticPr fontId="43"/>
  </si>
  <si>
    <t>対応済み
（ランクAのみ）</t>
    <rPh sb="0" eb="2">
      <t>タイオウ</t>
    </rPh>
    <rPh sb="2" eb="3">
      <t>ズ</t>
    </rPh>
    <phoneticPr fontId="43"/>
  </si>
  <si>
    <t>対応済み
（ランクB含む）</t>
    <rPh sb="0" eb="2">
      <t>タイオウ</t>
    </rPh>
    <rPh sb="2" eb="3">
      <t>ズ</t>
    </rPh>
    <rPh sb="10" eb="11">
      <t>フク</t>
    </rPh>
    <phoneticPr fontId="43"/>
  </si>
  <si>
    <t>未対応</t>
    <rPh sb="0" eb="3">
      <t>ミタイオウ</t>
    </rPh>
    <phoneticPr fontId="43"/>
  </si>
  <si>
    <t>有効容量
（m3/日）</t>
    <rPh sb="0" eb="2">
      <t>ユウコウ</t>
    </rPh>
    <rPh sb="2" eb="4">
      <t>ヨウリョウ</t>
    </rPh>
    <rPh sb="9" eb="10">
      <t>ニチ</t>
    </rPh>
    <phoneticPr fontId="43"/>
  </si>
  <si>
    <t>１０．管延長並びに管路耐震化及び経年化状況（用水供給）</t>
    <rPh sb="3" eb="4">
      <t>カン</t>
    </rPh>
    <rPh sb="4" eb="6">
      <t>エンチョウ</t>
    </rPh>
    <rPh sb="6" eb="7">
      <t>ナラ</t>
    </rPh>
    <rPh sb="9" eb="11">
      <t>カンロ</t>
    </rPh>
    <rPh sb="11" eb="14">
      <t>タイシンカ</t>
    </rPh>
    <rPh sb="14" eb="15">
      <t>オヨ</t>
    </rPh>
    <rPh sb="16" eb="19">
      <t>ケイネンカ</t>
    </rPh>
    <rPh sb="19" eb="21">
      <t>ジョウキョウ</t>
    </rPh>
    <rPh sb="22" eb="24">
      <t>ヨウスイ</t>
    </rPh>
    <rPh sb="24" eb="26">
      <t>キョウキュウ</t>
    </rPh>
    <phoneticPr fontId="6"/>
  </si>
  <si>
    <t>番号</t>
    <rPh sb="0" eb="2">
      <t>バンゴウ</t>
    </rPh>
    <phoneticPr fontId="44"/>
  </si>
  <si>
    <t>管種別延長（すべて基幹管路）</t>
    <rPh sb="0" eb="1">
      <t>カン</t>
    </rPh>
    <rPh sb="1" eb="3">
      <t>シュベツ</t>
    </rPh>
    <rPh sb="3" eb="5">
      <t>エンチョウ</t>
    </rPh>
    <rPh sb="9" eb="11">
      <t>キカン</t>
    </rPh>
    <rPh sb="11" eb="13">
      <t>カンロ</t>
    </rPh>
    <phoneticPr fontId="6"/>
  </si>
  <si>
    <t>導水管</t>
    <rPh sb="0" eb="2">
      <t>ドウスイ</t>
    </rPh>
    <rPh sb="2" eb="3">
      <t>カン</t>
    </rPh>
    <phoneticPr fontId="6"/>
  </si>
  <si>
    <t>送水管</t>
    <rPh sb="0" eb="3">
      <t>ソウスイカン</t>
    </rPh>
    <phoneticPr fontId="6"/>
  </si>
  <si>
    <t>ダクタイル鋳鉄管</t>
    <rPh sb="5" eb="7">
      <t>チュウテツ</t>
    </rPh>
    <rPh sb="7" eb="8">
      <t>カン</t>
    </rPh>
    <phoneticPr fontId="6"/>
  </si>
  <si>
    <t>耐震適合性のある管
(m)</t>
    <rPh sb="0" eb="2">
      <t>タイシン</t>
    </rPh>
    <rPh sb="2" eb="5">
      <t>テキゴウセイ</t>
    </rPh>
    <rPh sb="8" eb="9">
      <t>クダ</t>
    </rPh>
    <phoneticPr fontId="6"/>
  </si>
  <si>
    <t>耐震適合性のない管
(m)</t>
    <rPh sb="0" eb="2">
      <t>タイシン</t>
    </rPh>
    <rPh sb="2" eb="5">
      <t>テキゴウセイ</t>
    </rPh>
    <rPh sb="8" eb="9">
      <t>クダ</t>
    </rPh>
    <phoneticPr fontId="6"/>
  </si>
  <si>
    <t>うち耐震管
(m)</t>
    <rPh sb="2" eb="4">
      <t>タイシン</t>
    </rPh>
    <rPh sb="4" eb="5">
      <t>クダ</t>
    </rPh>
    <phoneticPr fontId="6"/>
  </si>
  <si>
    <t>ポリエチレン管</t>
    <rPh sb="6" eb="7">
      <t>カン</t>
    </rPh>
    <phoneticPr fontId="6"/>
  </si>
  <si>
    <t>総延長
(m)
〔A〕</t>
    <rPh sb="0" eb="3">
      <t>ソウエンチョウ</t>
    </rPh>
    <phoneticPr fontId="6"/>
  </si>
  <si>
    <t>耐震適合性のある管
(m)
〔B〕</t>
    <rPh sb="0" eb="2">
      <t>タイシン</t>
    </rPh>
    <rPh sb="2" eb="5">
      <t>テキゴウセイ</t>
    </rPh>
    <rPh sb="8" eb="9">
      <t>クダ</t>
    </rPh>
    <phoneticPr fontId="6"/>
  </si>
  <si>
    <t>耐震適合性
のある管の
割合（%)
〔B〕/〔A〕</t>
    <rPh sb="0" eb="2">
      <t>タイシン</t>
    </rPh>
    <rPh sb="9" eb="10">
      <t>カン</t>
    </rPh>
    <rPh sb="12" eb="14">
      <t>ワリアイ</t>
    </rPh>
    <phoneticPr fontId="6"/>
  </si>
  <si>
    <t>うち耐震管
(m)
〔C〕</t>
    <rPh sb="2" eb="4">
      <t>タイシン</t>
    </rPh>
    <rPh sb="4" eb="5">
      <t>クダ</t>
    </rPh>
    <phoneticPr fontId="6"/>
  </si>
  <si>
    <t>耐震管の割合(%)
〔C〕/〔A〕</t>
    <rPh sb="0" eb="2">
      <t>タイシン</t>
    </rPh>
    <rPh sb="2" eb="3">
      <t>カン</t>
    </rPh>
    <rPh sb="4" eb="6">
      <t>ワリアイ</t>
    </rPh>
    <phoneticPr fontId="6"/>
  </si>
  <si>
    <t>管路経年化状況</t>
    <rPh sb="0" eb="2">
      <t>カンロ</t>
    </rPh>
    <rPh sb="2" eb="5">
      <t>ケイネンカ</t>
    </rPh>
    <rPh sb="5" eb="7">
      <t>ジョウキョウ</t>
    </rPh>
    <phoneticPr fontId="6"/>
  </si>
  <si>
    <t>総管路
延長（m）</t>
    <rPh sb="0" eb="1">
      <t>ソウ</t>
    </rPh>
    <rPh sb="1" eb="3">
      <t>カンロ</t>
    </rPh>
    <rPh sb="4" eb="6">
      <t>エンチョウ</t>
    </rPh>
    <phoneticPr fontId="46"/>
  </si>
  <si>
    <t>40年以上経過</t>
    <rPh sb="2" eb="3">
      <t>ネン</t>
    </rPh>
    <rPh sb="3" eb="5">
      <t>イジョウ</t>
    </rPh>
    <rPh sb="5" eb="7">
      <t>ケイカ</t>
    </rPh>
    <phoneticPr fontId="46"/>
  </si>
  <si>
    <t>20～39年経過</t>
    <rPh sb="5" eb="6">
      <t>ネン</t>
    </rPh>
    <rPh sb="6" eb="8">
      <t>ケイカ</t>
    </rPh>
    <phoneticPr fontId="46"/>
  </si>
  <si>
    <t>19年以下経過</t>
    <rPh sb="2" eb="3">
      <t>ネン</t>
    </rPh>
    <rPh sb="3" eb="5">
      <t>イカ</t>
    </rPh>
    <rPh sb="5" eb="7">
      <t>ケイカ</t>
    </rPh>
    <phoneticPr fontId="46"/>
  </si>
  <si>
    <t>敷設替えに伴う敷設</t>
    <rPh sb="0" eb="2">
      <t>フセツ</t>
    </rPh>
    <rPh sb="2" eb="3">
      <t>ガ</t>
    </rPh>
    <rPh sb="5" eb="6">
      <t>トモナ</t>
    </rPh>
    <rPh sb="7" eb="9">
      <t>フセツ</t>
    </rPh>
    <phoneticPr fontId="46"/>
  </si>
  <si>
    <t>延長(m)</t>
    <rPh sb="0" eb="2">
      <t>エンチョウ</t>
    </rPh>
    <phoneticPr fontId="46"/>
  </si>
  <si>
    <t>割合(%)</t>
    <rPh sb="0" eb="2">
      <t>ワリアイ</t>
    </rPh>
    <phoneticPr fontId="46"/>
  </si>
  <si>
    <t>*参考</t>
    <rPh sb="1" eb="3">
      <t>サンコウ</t>
    </rPh>
    <phoneticPr fontId="44"/>
  </si>
  <si>
    <t>地域振興局</t>
    <rPh sb="0" eb="2">
      <t>チイキ</t>
    </rPh>
    <rPh sb="2" eb="4">
      <t>シンコウ</t>
    </rPh>
    <rPh sb="4" eb="5">
      <t>キョク</t>
    </rPh>
    <phoneticPr fontId="6"/>
  </si>
  <si>
    <t>導水トンネル（m）</t>
    <rPh sb="0" eb="2">
      <t>ドウスイ</t>
    </rPh>
    <phoneticPr fontId="44"/>
  </si>
  <si>
    <t>１１．財務状況（用水供給）</t>
    <rPh sb="3" eb="5">
      <t>ザイム</t>
    </rPh>
    <rPh sb="5" eb="7">
      <t>ジョウキョウ</t>
    </rPh>
    <rPh sb="8" eb="10">
      <t>ヨウスイ</t>
    </rPh>
    <rPh sb="10" eb="12">
      <t>キョウキュウ</t>
    </rPh>
    <phoneticPr fontId="6"/>
  </si>
  <si>
    <t>［金額単位：千円］</t>
  </si>
  <si>
    <t>事業体番号</t>
    <rPh sb="0" eb="2">
      <t>ジギョウ</t>
    </rPh>
    <rPh sb="2" eb="3">
      <t>タイ</t>
    </rPh>
    <rPh sb="3" eb="5">
      <t>バンゴウ</t>
    </rPh>
    <phoneticPr fontId="6"/>
  </si>
  <si>
    <t>浅麓
水道企業団</t>
    <rPh sb="0" eb="1">
      <t>アサ</t>
    </rPh>
    <rPh sb="1" eb="2">
      <t>ロク</t>
    </rPh>
    <rPh sb="3" eb="5">
      <t>スイドウ</t>
    </rPh>
    <rPh sb="5" eb="7">
      <t>キギョウ</t>
    </rPh>
    <rPh sb="7" eb="8">
      <t>ダン</t>
    </rPh>
    <phoneticPr fontId="6"/>
  </si>
  <si>
    <t>高瀬広域
水道企業団</t>
    <rPh sb="0" eb="2">
      <t>タカセ</t>
    </rPh>
    <rPh sb="2" eb="4">
      <t>コウイキ</t>
    </rPh>
    <rPh sb="5" eb="7">
      <t>スイドウ</t>
    </rPh>
    <rPh sb="7" eb="9">
      <t>キギョウ</t>
    </rPh>
    <rPh sb="9" eb="10">
      <t>ダン</t>
    </rPh>
    <phoneticPr fontId="6"/>
  </si>
  <si>
    <t>損益計算書</t>
  </si>
  <si>
    <t>１　総収益 （１）＋（２）＋（３）</t>
  </si>
  <si>
    <t>　（１）　営業収益 [(ア)～(ウ)]</t>
  </si>
  <si>
    <t>　　　（ア）給水収益</t>
  </si>
  <si>
    <t>　　　（イ）受託工事収益</t>
    <rPh sb="6" eb="8">
      <t>ジュタク</t>
    </rPh>
    <rPh sb="8" eb="10">
      <t>コウジ</t>
    </rPh>
    <phoneticPr fontId="6"/>
  </si>
  <si>
    <t>　　　（ウ）その他営業収益</t>
  </si>
  <si>
    <t>　（２）　営業外収益 [(ア)～(カ)]</t>
    <phoneticPr fontId="6"/>
  </si>
  <si>
    <t>　　　（ア）受取利息及び配当金</t>
  </si>
  <si>
    <t>　　　（イ）受託工事収益 （千円）</t>
    <phoneticPr fontId="44"/>
  </si>
  <si>
    <t>　　　（ウ）国庫（県）補助金 （千円）</t>
    <phoneticPr fontId="6"/>
  </si>
  <si>
    <t>　　　（エ）他会計補助金 （千円）</t>
    <phoneticPr fontId="44"/>
  </si>
  <si>
    <t>　　　（オ）長期前受金戻入（千円）</t>
    <phoneticPr fontId="6"/>
  </si>
  <si>
    <t>　　　（カ）雑収益 （千円）</t>
    <phoneticPr fontId="6"/>
  </si>
  <si>
    <t>　（３）　特別利益</t>
    <rPh sb="5" eb="7">
      <t>トクベツ</t>
    </rPh>
    <rPh sb="7" eb="9">
      <t>リエキ</t>
    </rPh>
    <phoneticPr fontId="6"/>
  </si>
  <si>
    <t>２　総費用（１）＋（２）＋（３）</t>
  </si>
  <si>
    <t>　（１）　営業費用 [(ア)～(コ)]</t>
  </si>
  <si>
    <t>　　　（ア）原水費</t>
  </si>
  <si>
    <t>　　　（イ）浄水費</t>
  </si>
  <si>
    <t>　　　（ウ）配水費</t>
  </si>
  <si>
    <t>　　　（エ）給水費</t>
    <rPh sb="6" eb="8">
      <t>キュウスイ</t>
    </rPh>
    <phoneticPr fontId="6"/>
  </si>
  <si>
    <t>　　　（オ）受託工事費</t>
    <rPh sb="6" eb="8">
      <t>ジュタク</t>
    </rPh>
    <rPh sb="8" eb="10">
      <t>コウジ</t>
    </rPh>
    <rPh sb="10" eb="11">
      <t>ヒ</t>
    </rPh>
    <phoneticPr fontId="6"/>
  </si>
  <si>
    <t>　　　（カ）業務費</t>
    <rPh sb="6" eb="8">
      <t>ギョウム</t>
    </rPh>
    <rPh sb="8" eb="9">
      <t>ヒ</t>
    </rPh>
    <phoneticPr fontId="6"/>
  </si>
  <si>
    <t>　　　（キ）総係費</t>
    <phoneticPr fontId="6"/>
  </si>
  <si>
    <t>　　　（ク）減価償却費</t>
  </si>
  <si>
    <t>　　　（ケ）資産減耗費</t>
  </si>
  <si>
    <t>　　　（コ）その他営業費用</t>
    <rPh sb="8" eb="9">
      <t>タ</t>
    </rPh>
    <rPh sb="9" eb="11">
      <t>エイギョウ</t>
    </rPh>
    <rPh sb="11" eb="13">
      <t>ヒヨウ</t>
    </rPh>
    <phoneticPr fontId="6"/>
  </si>
  <si>
    <t>　（２）　営業外費用 [(ア)～(オ)]</t>
  </si>
  <si>
    <t>　　　（ア）企業債利息</t>
  </si>
  <si>
    <t>　　　（イ）その他借入金利息</t>
    <rPh sb="8" eb="9">
      <t>タ</t>
    </rPh>
    <rPh sb="9" eb="11">
      <t>カリイレ</t>
    </rPh>
    <rPh sb="11" eb="12">
      <t>キン</t>
    </rPh>
    <phoneticPr fontId="6"/>
  </si>
  <si>
    <t>　　　（ウ）企業債取扱諸費</t>
    <rPh sb="9" eb="11">
      <t>トリアツカイ</t>
    </rPh>
    <rPh sb="11" eb="13">
      <t>ショヒ</t>
    </rPh>
    <phoneticPr fontId="6"/>
  </si>
  <si>
    <t>　　　（エ）受託工事費</t>
    <phoneticPr fontId="6"/>
  </si>
  <si>
    <t>　　　（オ）その他営業外費用</t>
  </si>
  <si>
    <t>　（３）　特別損失</t>
    <rPh sb="5" eb="7">
      <t>トクベツ</t>
    </rPh>
    <rPh sb="7" eb="9">
      <t>ソンシツ</t>
    </rPh>
    <phoneticPr fontId="6"/>
  </si>
  <si>
    <t>３　当年度純利益[１－２]</t>
  </si>
  <si>
    <t>４　当年度純損失[１－２]</t>
    <rPh sb="6" eb="8">
      <t>ソンシツ</t>
    </rPh>
    <phoneticPr fontId="6"/>
  </si>
  <si>
    <t>資本的収支</t>
  </si>
  <si>
    <t>１　資本的収入</t>
    <phoneticPr fontId="6"/>
  </si>
  <si>
    <t>（１）企業債[（ア）～（エ）]</t>
    <phoneticPr fontId="6"/>
  </si>
  <si>
    <t>　　（ア）政府債</t>
    <phoneticPr fontId="6"/>
  </si>
  <si>
    <t>　　（イ）機構債</t>
    <phoneticPr fontId="6"/>
  </si>
  <si>
    <t>　　（ウ）その他</t>
    <phoneticPr fontId="6"/>
  </si>
  <si>
    <t>　　（エ）借換債</t>
    <phoneticPr fontId="6"/>
  </si>
  <si>
    <t>（２）他会計出資金補助金</t>
    <phoneticPr fontId="6"/>
  </si>
  <si>
    <t>（３）他会計借入金</t>
    <rPh sb="6" eb="8">
      <t>カリイレ</t>
    </rPh>
    <phoneticPr fontId="6"/>
  </si>
  <si>
    <t>（４）国庫（県）補助金</t>
    <rPh sb="3" eb="5">
      <t>コッコ</t>
    </rPh>
    <rPh sb="6" eb="7">
      <t>ケン</t>
    </rPh>
    <phoneticPr fontId="6"/>
  </si>
  <si>
    <t>（５）工事負担金</t>
    <phoneticPr fontId="6"/>
  </si>
  <si>
    <t>（６）その他</t>
    <rPh sb="5" eb="6">
      <t>タ</t>
    </rPh>
    <phoneticPr fontId="6"/>
  </si>
  <si>
    <t>（７）計　[（１）～（６）]　（A)</t>
    <phoneticPr fontId="6"/>
  </si>
  <si>
    <t>（８）うち翌年度へ繰り越される支出の財源充当額（B)</t>
    <rPh sb="5" eb="8">
      <t>ヨクネンド</t>
    </rPh>
    <rPh sb="9" eb="10">
      <t>ク</t>
    </rPh>
    <rPh sb="11" eb="12">
      <t>コ</t>
    </rPh>
    <rPh sb="15" eb="17">
      <t>シシュツ</t>
    </rPh>
    <rPh sb="18" eb="20">
      <t>ザイゲン</t>
    </rPh>
    <rPh sb="20" eb="22">
      <t>ジュウトウ</t>
    </rPh>
    <rPh sb="22" eb="23">
      <t>ガク</t>
    </rPh>
    <phoneticPr fontId="6"/>
  </si>
  <si>
    <t>（９）前年度許可債で今年度収入分　（C)</t>
    <rPh sb="3" eb="6">
      <t>ゼンネンド</t>
    </rPh>
    <rPh sb="6" eb="8">
      <t>キョカ</t>
    </rPh>
    <rPh sb="8" eb="9">
      <t>サイ</t>
    </rPh>
    <rPh sb="10" eb="13">
      <t>コンネンド</t>
    </rPh>
    <rPh sb="13" eb="15">
      <t>シュウニュウ</t>
    </rPh>
    <rPh sb="15" eb="16">
      <t>ブン</t>
    </rPh>
    <phoneticPr fontId="6"/>
  </si>
  <si>
    <t>（１０）純計　(A)-｛(B)+(C)｝=　(D)</t>
    <phoneticPr fontId="6"/>
  </si>
  <si>
    <t>２　資本的支出</t>
    <phoneticPr fontId="6"/>
  </si>
  <si>
    <t>（１）新設・拡張事業費</t>
    <phoneticPr fontId="6"/>
  </si>
  <si>
    <t>（２）改良事業費</t>
    <phoneticPr fontId="6"/>
  </si>
  <si>
    <t>（３）企業債償還金</t>
    <phoneticPr fontId="6"/>
  </si>
  <si>
    <t>（４）他会計長期借入金返還金</t>
    <rPh sb="3" eb="4">
      <t>タ</t>
    </rPh>
    <rPh sb="4" eb="6">
      <t>カイケイ</t>
    </rPh>
    <rPh sb="6" eb="8">
      <t>チョウキ</t>
    </rPh>
    <rPh sb="8" eb="10">
      <t>カリイレ</t>
    </rPh>
    <rPh sb="10" eb="11">
      <t>キン</t>
    </rPh>
    <rPh sb="11" eb="13">
      <t>ヘンカン</t>
    </rPh>
    <phoneticPr fontId="6"/>
  </si>
  <si>
    <t>（５）その他</t>
    <phoneticPr fontId="6"/>
  </si>
  <si>
    <t>（６）計　〔（１）～（５）〕　(E)</t>
    <phoneticPr fontId="6"/>
  </si>
  <si>
    <t>３　資本的収入額が資本的支出額に不足する額(E)-(D)=(F)</t>
    <phoneticPr fontId="6"/>
  </si>
  <si>
    <t>費用構成</t>
  </si>
  <si>
    <t>１　人件費　〔（１）＋（２）〕</t>
  </si>
  <si>
    <t>　（１）直接人件費</t>
  </si>
  <si>
    <t>　（２）間接人件費</t>
  </si>
  <si>
    <t>２　動力費</t>
    <phoneticPr fontId="6"/>
  </si>
  <si>
    <t>３　修繕費</t>
  </si>
  <si>
    <t>４　薬品費</t>
  </si>
  <si>
    <t>５　支払利息</t>
    <phoneticPr fontId="6"/>
  </si>
  <si>
    <t>６　減価償却費</t>
  </si>
  <si>
    <t>７　受水費</t>
    <rPh sb="2" eb="3">
      <t>ウ</t>
    </rPh>
    <rPh sb="3" eb="4">
      <t>ミズ</t>
    </rPh>
    <phoneticPr fontId="6"/>
  </si>
  <si>
    <t>８　委託料</t>
    <rPh sb="2" eb="4">
      <t>イタク</t>
    </rPh>
    <rPh sb="4" eb="5">
      <t>リョウ</t>
    </rPh>
    <phoneticPr fontId="44"/>
  </si>
  <si>
    <t>９　その他</t>
    <phoneticPr fontId="44"/>
  </si>
  <si>
    <t>１０　計　〔１～９〕</t>
    <phoneticPr fontId="44"/>
  </si>
  <si>
    <t>１１　受託工事費</t>
    <rPh sb="3" eb="5">
      <t>ジュタク</t>
    </rPh>
    <rPh sb="5" eb="7">
      <t>コウジ</t>
    </rPh>
    <phoneticPr fontId="6"/>
  </si>
  <si>
    <t>１２　合計　〔１０＋１１〕</t>
    <phoneticPr fontId="44"/>
  </si>
  <si>
    <t>職員数（人）</t>
    <phoneticPr fontId="6"/>
  </si>
  <si>
    <t>損益勘定所属職員数（人）</t>
  </si>
  <si>
    <t>年間有収水量（千m3）</t>
    <phoneticPr fontId="6"/>
  </si>
  <si>
    <t>給水原価（円/m3）</t>
    <rPh sb="0" eb="2">
      <t>キュウスイ</t>
    </rPh>
    <rPh sb="2" eb="4">
      <t>ゲンカ</t>
    </rPh>
    <rPh sb="5" eb="6">
      <t>エン</t>
    </rPh>
    <phoneticPr fontId="6"/>
  </si>
  <si>
    <t>給水原価（円/m3） ※長期前受金戻入相当額を控除した場合</t>
    <rPh sb="0" eb="2">
      <t>キュウスイ</t>
    </rPh>
    <rPh sb="2" eb="4">
      <t>ゲンカ</t>
    </rPh>
    <rPh sb="5" eb="6">
      <t>エン</t>
    </rPh>
    <rPh sb="12" eb="14">
      <t>チョウキ</t>
    </rPh>
    <rPh sb="14" eb="16">
      <t>マエウ</t>
    </rPh>
    <rPh sb="16" eb="17">
      <t>キン</t>
    </rPh>
    <rPh sb="17" eb="19">
      <t>レイニュウ</t>
    </rPh>
    <rPh sb="19" eb="21">
      <t>ソウトウ</t>
    </rPh>
    <rPh sb="21" eb="22">
      <t>ガク</t>
    </rPh>
    <rPh sb="23" eb="25">
      <t>コウジョ</t>
    </rPh>
    <rPh sb="27" eb="29">
      <t>バアイ</t>
    </rPh>
    <phoneticPr fontId="6"/>
  </si>
  <si>
    <t>供給単価（円/m3）</t>
    <rPh sb="0" eb="2">
      <t>キョウキュウ</t>
    </rPh>
    <rPh sb="2" eb="4">
      <t>タンカ</t>
    </rPh>
    <rPh sb="5" eb="6">
      <t>エン</t>
    </rPh>
    <phoneticPr fontId="6"/>
  </si>
  <si>
    <t>１２．事業計画概要、給水人口、普及率、給水量及び料金（上水道）</t>
    <rPh sb="3" eb="5">
      <t>ジギョウ</t>
    </rPh>
    <rPh sb="5" eb="7">
      <t>ケイカク</t>
    </rPh>
    <rPh sb="7" eb="9">
      <t>ガイヨウ</t>
    </rPh>
    <rPh sb="10" eb="12">
      <t>キュウスイ</t>
    </rPh>
    <rPh sb="12" eb="14">
      <t>ジンコウ</t>
    </rPh>
    <rPh sb="15" eb="17">
      <t>フキュウ</t>
    </rPh>
    <rPh sb="17" eb="18">
      <t>リツ</t>
    </rPh>
    <rPh sb="19" eb="20">
      <t>キュウ</t>
    </rPh>
    <rPh sb="20" eb="22">
      <t>スイリョウ</t>
    </rPh>
    <rPh sb="22" eb="23">
      <t>オヨ</t>
    </rPh>
    <rPh sb="24" eb="26">
      <t>リョウキン</t>
    </rPh>
    <rPh sb="27" eb="28">
      <t>ジョウ</t>
    </rPh>
    <rPh sb="28" eb="30">
      <t>スイドウ</t>
    </rPh>
    <phoneticPr fontId="6"/>
  </si>
  <si>
    <t>給水人口（人）</t>
    <rPh sb="0" eb="2">
      <t>キュウスイ</t>
    </rPh>
    <rPh sb="2" eb="4">
      <t>ジンコウ</t>
    </rPh>
    <rPh sb="5" eb="6">
      <t>ニン</t>
    </rPh>
    <phoneticPr fontId="6"/>
  </si>
  <si>
    <t>給水区域内人口（人）</t>
    <rPh sb="0" eb="2">
      <t>キュウスイ</t>
    </rPh>
    <rPh sb="2" eb="5">
      <t>クイキナイ</t>
    </rPh>
    <rPh sb="5" eb="7">
      <t>ジンコウ</t>
    </rPh>
    <rPh sb="8" eb="9">
      <t>ニン</t>
    </rPh>
    <phoneticPr fontId="6"/>
  </si>
  <si>
    <t>給水普及率（%）</t>
    <phoneticPr fontId="6"/>
  </si>
  <si>
    <r>
      <t>年間給水量（千m</t>
    </r>
    <r>
      <rPr>
        <vertAlign val="superscript"/>
        <sz val="9"/>
        <rFont val="ＭＳ Ｐゴシック"/>
        <family val="3"/>
        <charset val="128"/>
      </rPr>
      <t>3</t>
    </r>
    <r>
      <rPr>
        <sz val="9"/>
        <rFont val="ＭＳ Ｐゴシック"/>
        <family val="3"/>
        <charset val="128"/>
      </rPr>
      <t>）
（分水量を除く）</t>
    </r>
    <rPh sb="12" eb="13">
      <t>ブン</t>
    </rPh>
    <rPh sb="13" eb="15">
      <t>スイリョウ</t>
    </rPh>
    <rPh sb="16" eb="17">
      <t>ノゾ</t>
    </rPh>
    <phoneticPr fontId="6"/>
  </si>
  <si>
    <r>
      <t>一日給水量(m</t>
    </r>
    <r>
      <rPr>
        <vertAlign val="superscript"/>
        <sz val="9"/>
        <rFont val="ＭＳ Ｐゴシック"/>
        <family val="3"/>
        <charset val="128"/>
      </rPr>
      <t>3</t>
    </r>
    <r>
      <rPr>
        <sz val="9"/>
        <rFont val="ＭＳ Ｐゴシック"/>
        <family val="3"/>
        <charset val="128"/>
      </rPr>
      <t>)
（分水量を含む）</t>
    </r>
    <rPh sb="11" eb="12">
      <t>ブン</t>
    </rPh>
    <rPh sb="12" eb="14">
      <t>スイリョウ</t>
    </rPh>
    <rPh sb="15" eb="16">
      <t>フク</t>
    </rPh>
    <phoneticPr fontId="6"/>
  </si>
  <si>
    <t>一人一日給水量(ﾘｯﾄﾙ)
（分水量を除く）</t>
    <rPh sb="15" eb="16">
      <t>ブン</t>
    </rPh>
    <rPh sb="16" eb="18">
      <t>スイリョウ</t>
    </rPh>
    <rPh sb="19" eb="20">
      <t>ノゾ</t>
    </rPh>
    <phoneticPr fontId="6"/>
  </si>
  <si>
    <t>比率
（分水量を含む給水量）</t>
    <rPh sb="0" eb="2">
      <t>ヒリツ</t>
    </rPh>
    <rPh sb="4" eb="5">
      <t>ブン</t>
    </rPh>
    <rPh sb="5" eb="7">
      <t>スイリョウ</t>
    </rPh>
    <rPh sb="8" eb="9">
      <t>フク</t>
    </rPh>
    <rPh sb="10" eb="11">
      <t>キュウ</t>
    </rPh>
    <rPh sb="11" eb="13">
      <t>スイリョウ</t>
    </rPh>
    <phoneticPr fontId="6"/>
  </si>
  <si>
    <t>水道料金（税込）</t>
    <rPh sb="5" eb="7">
      <t>ゼイコミ</t>
    </rPh>
    <phoneticPr fontId="6"/>
  </si>
  <si>
    <t>認可（届出）年月日</t>
    <rPh sb="0" eb="2">
      <t>ニンカ</t>
    </rPh>
    <rPh sb="3" eb="5">
      <t>トドケデ</t>
    </rPh>
    <rPh sb="6" eb="9">
      <t>ネンガッピ</t>
    </rPh>
    <phoneticPr fontId="6"/>
  </si>
  <si>
    <t>目標
年次</t>
    <rPh sb="0" eb="2">
      <t>モクヒョウ</t>
    </rPh>
    <rPh sb="3" eb="5">
      <t>ネンジ</t>
    </rPh>
    <phoneticPr fontId="6"/>
  </si>
  <si>
    <t>計画</t>
    <rPh sb="0" eb="2">
      <t>ケイカク</t>
    </rPh>
    <phoneticPr fontId="6"/>
  </si>
  <si>
    <t>現在</t>
    <rPh sb="0" eb="2">
      <t>ゲンザイ</t>
    </rPh>
    <phoneticPr fontId="6"/>
  </si>
  <si>
    <t>計画・最大</t>
    <rPh sb="0" eb="2">
      <t>ケイカク</t>
    </rPh>
    <rPh sb="3" eb="5">
      <t>サイダイ</t>
    </rPh>
    <phoneticPr fontId="6"/>
  </si>
  <si>
    <t>実績・最大</t>
    <rPh sb="0" eb="2">
      <t>ジッセキ</t>
    </rPh>
    <rPh sb="3" eb="5">
      <t>サイダイ</t>
    </rPh>
    <phoneticPr fontId="6"/>
  </si>
  <si>
    <t>実績・平均</t>
    <rPh sb="0" eb="2">
      <t>ジッセキ</t>
    </rPh>
    <rPh sb="3" eb="5">
      <t>ヘイキン</t>
    </rPh>
    <phoneticPr fontId="6"/>
  </si>
  <si>
    <t>負荷率
（%）</t>
    <phoneticPr fontId="6"/>
  </si>
  <si>
    <r>
      <t>家庭用10m</t>
    </r>
    <r>
      <rPr>
        <vertAlign val="superscript"/>
        <sz val="9"/>
        <rFont val="ＭＳ Ｐゴシック"/>
        <family val="3"/>
        <charset val="128"/>
      </rPr>
      <t xml:space="preserve">3
</t>
    </r>
    <r>
      <rPr>
        <sz val="9"/>
        <rFont val="ＭＳ Ｐゴシック"/>
        <family val="3"/>
        <charset val="128"/>
      </rPr>
      <t>料金/月（円）</t>
    </r>
    <rPh sb="11" eb="12">
      <t>ツキ</t>
    </rPh>
    <rPh sb="13" eb="14">
      <t>エン</t>
    </rPh>
    <phoneticPr fontId="6"/>
  </si>
  <si>
    <r>
      <t>家庭用
20m</t>
    </r>
    <r>
      <rPr>
        <vertAlign val="superscript"/>
        <sz val="9"/>
        <rFont val="ＭＳ Ｐゴシック"/>
        <family val="3"/>
        <charset val="128"/>
      </rPr>
      <t xml:space="preserve">3
</t>
    </r>
    <r>
      <rPr>
        <sz val="9"/>
        <rFont val="ＭＳ Ｐゴシック"/>
        <family val="3"/>
        <charset val="128"/>
      </rPr>
      <t>料金/月（円）</t>
    </r>
    <rPh sb="12" eb="13">
      <t>ツキ</t>
    </rPh>
    <rPh sb="14" eb="15">
      <t>エン</t>
    </rPh>
    <phoneticPr fontId="6"/>
  </si>
  <si>
    <t>小諸市</t>
    <rPh sb="0" eb="3">
      <t>コモロシ</t>
    </rPh>
    <phoneticPr fontId="6"/>
  </si>
  <si>
    <t>R18</t>
  </si>
  <si>
    <t>口径別</t>
  </si>
  <si>
    <t>小海町</t>
    <rPh sb="0" eb="3">
      <t>コウミマチ</t>
    </rPh>
    <phoneticPr fontId="6"/>
  </si>
  <si>
    <t>軽井沢町</t>
    <rPh sb="0" eb="4">
      <t>カルイザワマチ</t>
    </rPh>
    <phoneticPr fontId="6"/>
  </si>
  <si>
    <t>R1</t>
  </si>
  <si>
    <t>併用</t>
  </si>
  <si>
    <t>御代田町</t>
    <rPh sb="0" eb="4">
      <t>ミヨタマチ</t>
    </rPh>
    <phoneticPr fontId="6"/>
  </si>
  <si>
    <t>R5</t>
  </si>
  <si>
    <t>立科町</t>
    <rPh sb="0" eb="3">
      <t>タテシナマチ</t>
    </rPh>
    <phoneticPr fontId="6"/>
  </si>
  <si>
    <t>H10</t>
  </si>
  <si>
    <t>用途別</t>
    <rPh sb="0" eb="2">
      <t>ヨウト</t>
    </rPh>
    <rPh sb="2" eb="3">
      <t>ベツ</t>
    </rPh>
    <phoneticPr fontId="10"/>
  </si>
  <si>
    <t>佐久水道企業団</t>
    <rPh sb="0" eb="2">
      <t>サク</t>
    </rPh>
    <rPh sb="2" eb="4">
      <t>スイドウ</t>
    </rPh>
    <rPh sb="4" eb="6">
      <t>キギョウ</t>
    </rPh>
    <rPh sb="6" eb="7">
      <t>ダン</t>
    </rPh>
    <phoneticPr fontId="6"/>
  </si>
  <si>
    <t>R8</t>
  </si>
  <si>
    <t>㈱八ヶ岳高原ロッジ</t>
    <rPh sb="1" eb="4">
      <t>ヤツガタケ</t>
    </rPh>
    <rPh sb="4" eb="6">
      <t>コウゲン</t>
    </rPh>
    <phoneticPr fontId="6"/>
  </si>
  <si>
    <t>R10</t>
  </si>
  <si>
    <t>〔平均〕</t>
    <rPh sb="1" eb="3">
      <t>ヘイキン</t>
    </rPh>
    <phoneticPr fontId="6"/>
  </si>
  <si>
    <t>上田</t>
    <rPh sb="0" eb="2">
      <t>ウエダ</t>
    </rPh>
    <phoneticPr fontId="6"/>
  </si>
  <si>
    <t>上田市</t>
    <rPh sb="0" eb="3">
      <t>ウエダシ</t>
    </rPh>
    <phoneticPr fontId="6"/>
  </si>
  <si>
    <t>R7</t>
  </si>
  <si>
    <t>東御市</t>
    <rPh sb="0" eb="1">
      <t>ヒガシ</t>
    </rPh>
    <rPh sb="1" eb="2">
      <t>ゴ</t>
    </rPh>
    <rPh sb="2" eb="3">
      <t>シ</t>
    </rPh>
    <phoneticPr fontId="6"/>
  </si>
  <si>
    <t>長和町</t>
    <rPh sb="0" eb="3">
      <t>ナガワマチ</t>
    </rPh>
    <phoneticPr fontId="44"/>
  </si>
  <si>
    <t>R12</t>
  </si>
  <si>
    <t>単一</t>
  </si>
  <si>
    <t>諏訪</t>
    <rPh sb="0" eb="2">
      <t>スワ</t>
    </rPh>
    <phoneticPr fontId="6"/>
  </si>
  <si>
    <t>岡谷市</t>
    <rPh sb="0" eb="3">
      <t>オカヤシ</t>
    </rPh>
    <phoneticPr fontId="6"/>
  </si>
  <si>
    <t>H15</t>
  </si>
  <si>
    <t>諏訪市</t>
    <rPh sb="0" eb="3">
      <t>スワシ</t>
    </rPh>
    <phoneticPr fontId="6"/>
  </si>
  <si>
    <t>R3</t>
  </si>
  <si>
    <t>茅野市</t>
    <rPh sb="0" eb="3">
      <t>チノシ</t>
    </rPh>
    <phoneticPr fontId="6"/>
  </si>
  <si>
    <t>下諏訪町</t>
    <rPh sb="0" eb="4">
      <t>シモスワマチ</t>
    </rPh>
    <phoneticPr fontId="6"/>
  </si>
  <si>
    <t>R6</t>
  </si>
  <si>
    <t>富士見町</t>
    <rPh sb="0" eb="4">
      <t>フジミマチ</t>
    </rPh>
    <phoneticPr fontId="6"/>
  </si>
  <si>
    <t>原村</t>
    <rPh sb="0" eb="2">
      <t>ハラムラ</t>
    </rPh>
    <phoneticPr fontId="6"/>
  </si>
  <si>
    <t>東洋観光事業㈱</t>
    <rPh sb="0" eb="2">
      <t>トウヨウ</t>
    </rPh>
    <rPh sb="2" eb="4">
      <t>カンコウ</t>
    </rPh>
    <rPh sb="4" eb="6">
      <t>ジギョウ</t>
    </rPh>
    <phoneticPr fontId="6"/>
  </si>
  <si>
    <t>㈱蓼科ビレッジ</t>
    <rPh sb="1" eb="3">
      <t>タテシナ</t>
    </rPh>
    <phoneticPr fontId="6"/>
  </si>
  <si>
    <t>㈱三井の森</t>
    <rPh sb="1" eb="3">
      <t>ミツイ</t>
    </rPh>
    <rPh sb="4" eb="5">
      <t>モリ</t>
    </rPh>
    <phoneticPr fontId="6"/>
  </si>
  <si>
    <t>東急不動産㈱</t>
    <rPh sb="0" eb="2">
      <t>トウキュウ</t>
    </rPh>
    <rPh sb="2" eb="5">
      <t>フドウサン</t>
    </rPh>
    <phoneticPr fontId="6"/>
  </si>
  <si>
    <t>鹿島リゾート㈱</t>
    <rPh sb="0" eb="2">
      <t>カジマ</t>
    </rPh>
    <phoneticPr fontId="6"/>
  </si>
  <si>
    <t>伊那市</t>
    <rPh sb="0" eb="3">
      <t>イナシ</t>
    </rPh>
    <phoneticPr fontId="6"/>
  </si>
  <si>
    <t>駒ヶ根市</t>
    <rPh sb="0" eb="4">
      <t>コマガネシ</t>
    </rPh>
    <phoneticPr fontId="6"/>
  </si>
  <si>
    <t>辰野町</t>
    <rPh sb="0" eb="3">
      <t>タツノマチ</t>
    </rPh>
    <phoneticPr fontId="6"/>
  </si>
  <si>
    <t>R4</t>
  </si>
  <si>
    <t>箕輪町</t>
    <rPh sb="0" eb="3">
      <t>ミノワマチ</t>
    </rPh>
    <phoneticPr fontId="6"/>
  </si>
  <si>
    <t>H27</t>
  </si>
  <si>
    <t>飯島町</t>
    <rPh sb="0" eb="3">
      <t>イイジママチ</t>
    </rPh>
    <phoneticPr fontId="6"/>
  </si>
  <si>
    <t>H4</t>
  </si>
  <si>
    <t>南箕輪村</t>
    <rPh sb="0" eb="4">
      <t>ミナミミノワムラ</t>
    </rPh>
    <phoneticPr fontId="6"/>
  </si>
  <si>
    <t>中川村</t>
    <rPh sb="0" eb="3">
      <t>ナカガワムラ</t>
    </rPh>
    <phoneticPr fontId="6"/>
  </si>
  <si>
    <t>宮田村</t>
    <rPh sb="0" eb="3">
      <t>ミヤダムラ</t>
    </rPh>
    <phoneticPr fontId="6"/>
  </si>
  <si>
    <t>南信州</t>
    <rPh sb="0" eb="1">
      <t>ミナミ</t>
    </rPh>
    <rPh sb="1" eb="3">
      <t>シンシュウ</t>
    </rPh>
    <phoneticPr fontId="6"/>
  </si>
  <si>
    <t>飯田市</t>
    <rPh sb="0" eb="3">
      <t>イイダシ</t>
    </rPh>
    <phoneticPr fontId="6"/>
  </si>
  <si>
    <t>松川町</t>
    <rPh sb="0" eb="3">
      <t>マツカワマチ</t>
    </rPh>
    <phoneticPr fontId="6"/>
  </si>
  <si>
    <t>高森町</t>
    <rPh sb="0" eb="3">
      <t>タカモリマチ</t>
    </rPh>
    <phoneticPr fontId="6"/>
  </si>
  <si>
    <t>H9</t>
  </si>
  <si>
    <t>阿智村</t>
    <rPh sb="0" eb="3">
      <t>アチムラ</t>
    </rPh>
    <phoneticPr fontId="44"/>
  </si>
  <si>
    <t>喬木村</t>
    <rPh sb="0" eb="3">
      <t>タカギムラ</t>
    </rPh>
    <phoneticPr fontId="44"/>
  </si>
  <si>
    <t>豊丘村</t>
    <rPh sb="0" eb="3">
      <t>トヨオカムラ</t>
    </rPh>
    <phoneticPr fontId="44"/>
  </si>
  <si>
    <t>木曽</t>
    <rPh sb="0" eb="2">
      <t>キソ</t>
    </rPh>
    <phoneticPr fontId="6"/>
  </si>
  <si>
    <t>木曽町</t>
    <rPh sb="0" eb="3">
      <t>キソマチ</t>
    </rPh>
    <phoneticPr fontId="6"/>
  </si>
  <si>
    <t>松本市（松本地区）</t>
    <rPh sb="0" eb="3">
      <t>マツモトシ</t>
    </rPh>
    <rPh sb="4" eb="6">
      <t>マツモト</t>
    </rPh>
    <rPh sb="6" eb="8">
      <t>チク</t>
    </rPh>
    <phoneticPr fontId="6"/>
  </si>
  <si>
    <t>松本市（波田地区）</t>
    <rPh sb="4" eb="6">
      <t>ナミタ</t>
    </rPh>
    <rPh sb="6" eb="8">
      <t>チク</t>
    </rPh>
    <phoneticPr fontId="6"/>
  </si>
  <si>
    <t>H30</t>
  </si>
  <si>
    <t>松本市（梓川地区）</t>
    <rPh sb="0" eb="3">
      <t>マツモトシ</t>
    </rPh>
    <rPh sb="4" eb="5">
      <t>アズサ</t>
    </rPh>
    <rPh sb="5" eb="6">
      <t>ガワ</t>
    </rPh>
    <rPh sb="6" eb="8">
      <t>チク</t>
    </rPh>
    <phoneticPr fontId="6"/>
  </si>
  <si>
    <t>松本市（四賀地区）</t>
    <rPh sb="0" eb="3">
      <t>マツモトシ</t>
    </rPh>
    <rPh sb="4" eb="6">
      <t>シガ</t>
    </rPh>
    <rPh sb="6" eb="8">
      <t>チク</t>
    </rPh>
    <phoneticPr fontId="6"/>
  </si>
  <si>
    <t>塩尻市</t>
    <rPh sb="0" eb="3">
      <t>シオジリシ</t>
    </rPh>
    <phoneticPr fontId="6"/>
  </si>
  <si>
    <t>安曇野市</t>
    <rPh sb="0" eb="2">
      <t>アヅミ</t>
    </rPh>
    <rPh sb="2" eb="3">
      <t>ノ</t>
    </rPh>
    <rPh sb="3" eb="4">
      <t>シ</t>
    </rPh>
    <phoneticPr fontId="6"/>
  </si>
  <si>
    <t>山形村</t>
    <rPh sb="0" eb="2">
      <t>ヤマガタ</t>
    </rPh>
    <rPh sb="2" eb="3">
      <t>ムラ</t>
    </rPh>
    <phoneticPr fontId="6"/>
  </si>
  <si>
    <t>大町市</t>
    <rPh sb="0" eb="3">
      <t>オオマチシ</t>
    </rPh>
    <phoneticPr fontId="6"/>
  </si>
  <si>
    <t>令和</t>
    <rPh sb="0" eb="2">
      <t>レイワ</t>
    </rPh>
    <phoneticPr fontId="44"/>
  </si>
  <si>
    <t>池田町</t>
    <rPh sb="0" eb="3">
      <t>イケダマチ</t>
    </rPh>
    <phoneticPr fontId="6"/>
  </si>
  <si>
    <t>松川村</t>
    <rPh sb="0" eb="3">
      <t>マツカワムラ</t>
    </rPh>
    <phoneticPr fontId="6"/>
  </si>
  <si>
    <t>白馬村</t>
    <rPh sb="0" eb="3">
      <t>ハクバムラ</t>
    </rPh>
    <phoneticPr fontId="6"/>
  </si>
  <si>
    <t>長野市</t>
    <rPh sb="0" eb="3">
      <t>ナガノシ</t>
    </rPh>
    <phoneticPr fontId="6"/>
  </si>
  <si>
    <t>須坂市</t>
    <rPh sb="0" eb="3">
      <t>スザカシ</t>
    </rPh>
    <phoneticPr fontId="6"/>
  </si>
  <si>
    <t>千曲市</t>
    <rPh sb="0" eb="2">
      <t>チクマ</t>
    </rPh>
    <rPh sb="2" eb="3">
      <t>シ</t>
    </rPh>
    <phoneticPr fontId="6"/>
  </si>
  <si>
    <t>小布施町</t>
    <rPh sb="0" eb="4">
      <t>オブセマチ</t>
    </rPh>
    <phoneticPr fontId="6"/>
  </si>
  <si>
    <t>高山村</t>
    <rPh sb="0" eb="3">
      <t>タカヤマムラ</t>
    </rPh>
    <phoneticPr fontId="6"/>
  </si>
  <si>
    <t>信濃町</t>
    <rPh sb="0" eb="3">
      <t>シナノマチ</t>
    </rPh>
    <phoneticPr fontId="6"/>
  </si>
  <si>
    <t>飯綱町（牟礼地区）</t>
    <rPh sb="0" eb="3">
      <t>イイヅナチョウ</t>
    </rPh>
    <rPh sb="4" eb="6">
      <t>ムレイ</t>
    </rPh>
    <rPh sb="6" eb="8">
      <t>チク</t>
    </rPh>
    <phoneticPr fontId="6"/>
  </si>
  <si>
    <t>飯綱町（三水地区）</t>
    <rPh sb="0" eb="1">
      <t>イイ</t>
    </rPh>
    <rPh sb="1" eb="2">
      <t>ツナ</t>
    </rPh>
    <rPh sb="2" eb="3">
      <t>マチ</t>
    </rPh>
    <rPh sb="4" eb="6">
      <t>サミズ</t>
    </rPh>
    <rPh sb="6" eb="8">
      <t>チク</t>
    </rPh>
    <phoneticPr fontId="6"/>
  </si>
  <si>
    <t>北信</t>
    <rPh sb="0" eb="2">
      <t>ホクシン</t>
    </rPh>
    <phoneticPr fontId="6"/>
  </si>
  <si>
    <t>中野市</t>
    <rPh sb="0" eb="2">
      <t>ナカノ</t>
    </rPh>
    <rPh sb="2" eb="3">
      <t>シ</t>
    </rPh>
    <phoneticPr fontId="6"/>
  </si>
  <si>
    <t>飯山市</t>
    <rPh sb="0" eb="3">
      <t>イイヤマシ</t>
    </rPh>
    <phoneticPr fontId="6"/>
  </si>
  <si>
    <t>山ノ内町</t>
    <rPh sb="0" eb="1">
      <t>ヤマ</t>
    </rPh>
    <rPh sb="2" eb="4">
      <t>ウチマチ</t>
    </rPh>
    <phoneticPr fontId="6"/>
  </si>
  <si>
    <t>木島平村</t>
    <rPh sb="0" eb="4">
      <t>キジマダイラムラ</t>
    </rPh>
    <phoneticPr fontId="6"/>
  </si>
  <si>
    <t>野沢温泉村</t>
    <rPh sb="0" eb="5">
      <t>ノザワオンセンムラ</t>
    </rPh>
    <phoneticPr fontId="6"/>
  </si>
  <si>
    <t>全県</t>
    <rPh sb="0" eb="1">
      <t>ゼン</t>
    </rPh>
    <rPh sb="1" eb="2">
      <t>ケン</t>
    </rPh>
    <phoneticPr fontId="6"/>
  </si>
  <si>
    <t>＊参考</t>
    <rPh sb="1" eb="3">
      <t>サンコウ</t>
    </rPh>
    <phoneticPr fontId="6"/>
  </si>
  <si>
    <t>長野県</t>
  </si>
  <si>
    <t>１３．取水量、浄水量及び配水池容量等（上水道）</t>
    <rPh sb="3" eb="5">
      <t>シュスイ</t>
    </rPh>
    <rPh sb="5" eb="6">
      <t>リョウ</t>
    </rPh>
    <rPh sb="7" eb="9">
      <t>ジョウスイ</t>
    </rPh>
    <rPh sb="9" eb="10">
      <t>リョウ</t>
    </rPh>
    <rPh sb="10" eb="11">
      <t>オヨ</t>
    </rPh>
    <rPh sb="12" eb="14">
      <t>ハイスイ</t>
    </rPh>
    <rPh sb="14" eb="15">
      <t>チ</t>
    </rPh>
    <rPh sb="15" eb="17">
      <t>ヨウリョウ</t>
    </rPh>
    <rPh sb="17" eb="18">
      <t>トウ</t>
    </rPh>
    <rPh sb="19" eb="20">
      <t>ジョウ</t>
    </rPh>
    <rPh sb="20" eb="22">
      <t>スイドウ</t>
    </rPh>
    <phoneticPr fontId="6"/>
  </si>
  <si>
    <t>配水池</t>
    <phoneticPr fontId="6"/>
  </si>
  <si>
    <t>地表水</t>
    <phoneticPr fontId="6"/>
  </si>
  <si>
    <t>地下水</t>
    <phoneticPr fontId="6"/>
  </si>
  <si>
    <t>原水
受水</t>
    <phoneticPr fontId="6"/>
  </si>
  <si>
    <t>浄水
受水</t>
    <phoneticPr fontId="6"/>
  </si>
  <si>
    <t>膜ろ過</t>
    <phoneticPr fontId="6"/>
  </si>
  <si>
    <r>
      <t>うち高度浄水処理量
（千m</t>
    </r>
    <r>
      <rPr>
        <vertAlign val="superscript"/>
        <sz val="9"/>
        <rFont val="ＭＳ Ｐゴシック"/>
        <family val="3"/>
        <charset val="128"/>
      </rPr>
      <t>3</t>
    </r>
    <r>
      <rPr>
        <sz val="9"/>
        <rFont val="ＭＳ Ｐゴシック"/>
        <family val="3"/>
        <charset val="128"/>
      </rPr>
      <t>）</t>
    </r>
    <rPh sb="2" eb="4">
      <t>コウド</t>
    </rPh>
    <rPh sb="4" eb="6">
      <t>ジョウスイ</t>
    </rPh>
    <rPh sb="6" eb="8">
      <t>ショリ</t>
    </rPh>
    <phoneticPr fontId="6"/>
  </si>
  <si>
    <t>配水塔</t>
    <phoneticPr fontId="6"/>
  </si>
  <si>
    <t>湖沼水</t>
    <phoneticPr fontId="6"/>
  </si>
  <si>
    <r>
      <t xml:space="preserve">河川水
</t>
    </r>
    <r>
      <rPr>
        <sz val="8"/>
        <rFont val="ＭＳ Ｐゴシック"/>
        <family val="3"/>
        <charset val="128"/>
      </rPr>
      <t>（表流水（自流））</t>
    </r>
    <rPh sb="0" eb="2">
      <t>カセン</t>
    </rPh>
    <rPh sb="2" eb="3">
      <t>ミズ</t>
    </rPh>
    <phoneticPr fontId="6"/>
  </si>
  <si>
    <t>伏流水</t>
    <phoneticPr fontId="6"/>
  </si>
  <si>
    <t>浅井戸
水</t>
    <phoneticPr fontId="6"/>
  </si>
  <si>
    <t>浅井戸数（本）</t>
    <rPh sb="0" eb="1">
      <t>アサ</t>
    </rPh>
    <rPh sb="1" eb="3">
      <t>イド</t>
    </rPh>
    <phoneticPr fontId="6"/>
  </si>
  <si>
    <t>深井戸
水</t>
    <phoneticPr fontId="6"/>
  </si>
  <si>
    <t>深井戸数（本）</t>
    <rPh sb="0" eb="3">
      <t>フカイド</t>
    </rPh>
    <phoneticPr fontId="6"/>
  </si>
  <si>
    <t>湧水</t>
    <rPh sb="0" eb="2">
      <t>ユウスイ</t>
    </rPh>
    <phoneticPr fontId="6"/>
  </si>
  <si>
    <r>
      <t>浄水量
（千m</t>
    </r>
    <r>
      <rPr>
        <vertAlign val="superscript"/>
        <sz val="9"/>
        <rFont val="ＭＳ Ｐゴシック"/>
        <family val="3"/>
        <charset val="128"/>
      </rPr>
      <t>3</t>
    </r>
    <r>
      <rPr>
        <sz val="9"/>
        <rFont val="ＭＳ Ｐゴシック"/>
        <family val="3"/>
        <charset val="128"/>
      </rPr>
      <t>）</t>
    </r>
    <rPh sb="0" eb="2">
      <t>ジョウスイ</t>
    </rPh>
    <phoneticPr fontId="6"/>
  </si>
  <si>
    <t>割合（%）</t>
    <rPh sb="0" eb="2">
      <t>ワリアイ</t>
    </rPh>
    <phoneticPr fontId="6"/>
  </si>
  <si>
    <t>数（池）</t>
    <phoneticPr fontId="6"/>
  </si>
  <si>
    <r>
      <t>有効容量(m</t>
    </r>
    <r>
      <rPr>
        <vertAlign val="superscript"/>
        <sz val="9"/>
        <rFont val="ＭＳ Ｐゴシック"/>
        <family val="3"/>
        <charset val="128"/>
      </rPr>
      <t>3</t>
    </r>
    <r>
      <rPr>
        <sz val="9"/>
        <rFont val="ＭＳ Ｐゴシック"/>
        <family val="3"/>
        <charset val="128"/>
      </rPr>
      <t>)</t>
    </r>
    <phoneticPr fontId="6"/>
  </si>
  <si>
    <t>数（塔）</t>
    <rPh sb="2" eb="3">
      <t>トウ</t>
    </rPh>
    <phoneticPr fontId="6"/>
  </si>
  <si>
    <t>御代田町</t>
    <rPh sb="0" eb="3">
      <t>ミヨタ</t>
    </rPh>
    <rPh sb="3" eb="4">
      <t>マチ</t>
    </rPh>
    <phoneticPr fontId="6"/>
  </si>
  <si>
    <t>南信州</t>
    <rPh sb="0" eb="3">
      <t>ミナミシンシュウ</t>
    </rPh>
    <phoneticPr fontId="6"/>
  </si>
  <si>
    <t>豊丘村</t>
    <rPh sb="0" eb="3">
      <t>トヨオカムラ</t>
    </rPh>
    <phoneticPr fontId="6"/>
  </si>
  <si>
    <t>松本市（松本地区）</t>
    <rPh sb="0" eb="3">
      <t>マツモトシ</t>
    </rPh>
    <rPh sb="4" eb="6">
      <t>マツモト</t>
    </rPh>
    <rPh sb="6" eb="8">
      <t>チク</t>
    </rPh>
    <phoneticPr fontId="42"/>
  </si>
  <si>
    <t>松本市（波田地区）</t>
    <rPh sb="4" eb="6">
      <t>ナミタ</t>
    </rPh>
    <rPh sb="6" eb="8">
      <t>チク</t>
    </rPh>
    <phoneticPr fontId="42"/>
  </si>
  <si>
    <t>松本市（梓川地区）</t>
    <rPh sb="0" eb="3">
      <t>マツモトシ</t>
    </rPh>
    <rPh sb="4" eb="5">
      <t>アズサ</t>
    </rPh>
    <rPh sb="5" eb="6">
      <t>ガワ</t>
    </rPh>
    <rPh sb="6" eb="8">
      <t>チク</t>
    </rPh>
    <phoneticPr fontId="42"/>
  </si>
  <si>
    <t>松本市（四賀地区）</t>
    <rPh sb="0" eb="3">
      <t>マツモトシ</t>
    </rPh>
    <rPh sb="4" eb="6">
      <t>シガ</t>
    </rPh>
    <rPh sb="6" eb="8">
      <t>チク</t>
    </rPh>
    <phoneticPr fontId="42"/>
  </si>
  <si>
    <t>安曇野市</t>
    <rPh sb="0" eb="3">
      <t>アズミノ</t>
    </rPh>
    <rPh sb="3" eb="4">
      <t>シ</t>
    </rPh>
    <phoneticPr fontId="6"/>
  </si>
  <si>
    <t>１４．用途別有収水量（上水道）</t>
    <rPh sb="3" eb="5">
      <t>ヨウト</t>
    </rPh>
    <rPh sb="5" eb="6">
      <t>ベツ</t>
    </rPh>
    <rPh sb="6" eb="7">
      <t>ユウ</t>
    </rPh>
    <rPh sb="7" eb="8">
      <t>シュウ</t>
    </rPh>
    <rPh sb="8" eb="10">
      <t>スイリョウ</t>
    </rPh>
    <rPh sb="11" eb="12">
      <t>ジョウ</t>
    </rPh>
    <rPh sb="12" eb="14">
      <t>スイドウ</t>
    </rPh>
    <phoneticPr fontId="6"/>
  </si>
  <si>
    <r>
      <t>用途別年間有収水量（千m</t>
    </r>
    <r>
      <rPr>
        <vertAlign val="superscript"/>
        <sz val="9"/>
        <rFont val="ＭＳ Ｐゴシック"/>
        <family val="3"/>
        <charset val="128"/>
      </rPr>
      <t>3</t>
    </r>
    <r>
      <rPr>
        <sz val="9"/>
        <rFont val="ＭＳ Ｐゴシック"/>
        <family val="3"/>
        <charset val="128"/>
      </rPr>
      <t>）</t>
    </r>
    <phoneticPr fontId="6"/>
  </si>
  <si>
    <t>専用栓</t>
    <phoneticPr fontId="6"/>
  </si>
  <si>
    <t>共用栓・公共栓</t>
    <rPh sb="4" eb="6">
      <t>コウキョウ</t>
    </rPh>
    <rPh sb="6" eb="7">
      <t>セン</t>
    </rPh>
    <phoneticPr fontId="6"/>
  </si>
  <si>
    <t>家庭用</t>
    <phoneticPr fontId="6"/>
  </si>
  <si>
    <t>営業用</t>
    <phoneticPr fontId="6"/>
  </si>
  <si>
    <t>工場用</t>
    <phoneticPr fontId="6"/>
  </si>
  <si>
    <t>官公署・学校用</t>
    <phoneticPr fontId="6"/>
  </si>
  <si>
    <t>公衆浴場用</t>
    <phoneticPr fontId="6"/>
  </si>
  <si>
    <t>その他</t>
    <phoneticPr fontId="6"/>
  </si>
  <si>
    <t>一般</t>
    <phoneticPr fontId="6"/>
  </si>
  <si>
    <t>集合</t>
    <phoneticPr fontId="6"/>
  </si>
  <si>
    <t>長和町</t>
    <rPh sb="0" eb="3">
      <t>ナガワマチ</t>
    </rPh>
    <phoneticPr fontId="6"/>
  </si>
  <si>
    <t>松本</t>
    <rPh sb="0" eb="2">
      <t>マツモト</t>
    </rPh>
    <phoneticPr fontId="44"/>
  </si>
  <si>
    <t>野沢温泉村</t>
    <rPh sb="0" eb="5">
      <t>ノザワオンセンムラ</t>
    </rPh>
    <phoneticPr fontId="44"/>
  </si>
  <si>
    <t>１５．口径別有収水量（上水道）</t>
    <rPh sb="3" eb="5">
      <t>コウケイ</t>
    </rPh>
    <rPh sb="5" eb="6">
      <t>ベツ</t>
    </rPh>
    <rPh sb="6" eb="7">
      <t>ユウ</t>
    </rPh>
    <rPh sb="7" eb="8">
      <t>シュウ</t>
    </rPh>
    <rPh sb="8" eb="10">
      <t>スイリョウ</t>
    </rPh>
    <rPh sb="11" eb="12">
      <t>ジョウ</t>
    </rPh>
    <rPh sb="12" eb="14">
      <t>スイドウ</t>
    </rPh>
    <phoneticPr fontId="6"/>
  </si>
  <si>
    <r>
      <t>口径別年間有収水量（千m</t>
    </r>
    <r>
      <rPr>
        <vertAlign val="superscript"/>
        <sz val="9"/>
        <rFont val="ＭＳ Ｐゴシック"/>
        <family val="3"/>
        <charset val="128"/>
      </rPr>
      <t>3</t>
    </r>
    <r>
      <rPr>
        <sz val="9"/>
        <rFont val="ＭＳ Ｐゴシック"/>
        <family val="3"/>
        <charset val="128"/>
      </rPr>
      <t>）</t>
    </r>
    <phoneticPr fontId="6"/>
  </si>
  <si>
    <t>13mm</t>
    <phoneticPr fontId="6"/>
  </si>
  <si>
    <t>16mm</t>
    <phoneticPr fontId="6"/>
  </si>
  <si>
    <t>20mm</t>
    <phoneticPr fontId="6"/>
  </si>
  <si>
    <t>25mm</t>
    <phoneticPr fontId="6"/>
  </si>
  <si>
    <t>30mm</t>
    <phoneticPr fontId="6"/>
  </si>
  <si>
    <t>40mm</t>
    <phoneticPr fontId="6"/>
  </si>
  <si>
    <t>50mm</t>
    <phoneticPr fontId="6"/>
  </si>
  <si>
    <t>75mm</t>
    <phoneticPr fontId="6"/>
  </si>
  <si>
    <t>100mm</t>
    <phoneticPr fontId="6"/>
  </si>
  <si>
    <t>125mm</t>
    <phoneticPr fontId="6"/>
  </si>
  <si>
    <t>150mm</t>
    <phoneticPr fontId="6"/>
  </si>
  <si>
    <t>200mm以上</t>
    <phoneticPr fontId="6"/>
  </si>
  <si>
    <t>阿智村</t>
    <rPh sb="0" eb="3">
      <t>アチムラ</t>
    </rPh>
    <phoneticPr fontId="6"/>
  </si>
  <si>
    <t>喬木村</t>
    <rPh sb="0" eb="3">
      <t>タカギムラ</t>
    </rPh>
    <phoneticPr fontId="6"/>
  </si>
  <si>
    <t>飯綱町（三水地区）</t>
    <rPh sb="0" eb="3">
      <t>イイヅナチョウ</t>
    </rPh>
    <rPh sb="4" eb="6">
      <t>サミズ</t>
    </rPh>
    <rPh sb="6" eb="8">
      <t>チク</t>
    </rPh>
    <phoneticPr fontId="6"/>
  </si>
  <si>
    <t>１６．管延長（上水道）</t>
    <rPh sb="3" eb="4">
      <t>カン</t>
    </rPh>
    <rPh sb="4" eb="6">
      <t>エンチョウ</t>
    </rPh>
    <rPh sb="7" eb="8">
      <t>ジョウ</t>
    </rPh>
    <rPh sb="8" eb="10">
      <t>スイドウ</t>
    </rPh>
    <phoneticPr fontId="6"/>
  </si>
  <si>
    <t>導水管延長(m)</t>
    <phoneticPr fontId="6"/>
  </si>
  <si>
    <t>送水管延長(m)</t>
    <phoneticPr fontId="6"/>
  </si>
  <si>
    <t>配水管延長
(m)</t>
    <phoneticPr fontId="6"/>
  </si>
  <si>
    <t>総延長
(m)</t>
    <rPh sb="0" eb="1">
      <t>ソウ</t>
    </rPh>
    <phoneticPr fontId="6"/>
  </si>
  <si>
    <t>管種別延長</t>
    <rPh sb="0" eb="1">
      <t>カン</t>
    </rPh>
    <rPh sb="1" eb="3">
      <t>シュベツ</t>
    </rPh>
    <phoneticPr fontId="6"/>
  </si>
  <si>
    <t>うち
基幹管路
延長
(m)</t>
    <rPh sb="3" eb="5">
      <t>キカン</t>
    </rPh>
    <rPh sb="5" eb="7">
      <t>カンロ</t>
    </rPh>
    <rPh sb="8" eb="10">
      <t>エンチョウ</t>
    </rPh>
    <phoneticPr fontId="6"/>
  </si>
  <si>
    <t>鋳鉄管</t>
    <phoneticPr fontId="6"/>
  </si>
  <si>
    <t>ダクタイル鋳鉄管</t>
    <phoneticPr fontId="6"/>
  </si>
  <si>
    <t>鋼管</t>
    <phoneticPr fontId="6"/>
  </si>
  <si>
    <t>石綿セメント管</t>
    <phoneticPr fontId="6"/>
  </si>
  <si>
    <t>硬質塩化ビニル管</t>
    <phoneticPr fontId="6"/>
  </si>
  <si>
    <t>コンクリート管</t>
    <phoneticPr fontId="6"/>
  </si>
  <si>
    <t>鉛管</t>
    <phoneticPr fontId="6"/>
  </si>
  <si>
    <t>ポリエチレン管</t>
    <phoneticPr fontId="6"/>
  </si>
  <si>
    <t>ステンレス管</t>
    <phoneticPr fontId="6"/>
  </si>
  <si>
    <t>配水本管</t>
    <rPh sb="2" eb="4">
      <t>ホンカン</t>
    </rPh>
    <phoneticPr fontId="6"/>
  </si>
  <si>
    <t>配水支管</t>
    <rPh sb="0" eb="2">
      <t>ハイスイ</t>
    </rPh>
    <rPh sb="2" eb="3">
      <t>シ</t>
    </rPh>
    <rPh sb="3" eb="4">
      <t>カン</t>
    </rPh>
    <phoneticPr fontId="6"/>
  </si>
  <si>
    <t>延長
(m)</t>
    <phoneticPr fontId="6"/>
  </si>
  <si>
    <t>割合(%)</t>
    <rPh sb="0" eb="2">
      <t>ワリアイ</t>
    </rPh>
    <phoneticPr fontId="6"/>
  </si>
  <si>
    <t>割合(%)</t>
  </si>
  <si>
    <t>東御市</t>
    <rPh sb="0" eb="1">
      <t>トウ</t>
    </rPh>
    <rPh sb="1" eb="2">
      <t>ミ</t>
    </rPh>
    <rPh sb="2" eb="3">
      <t>シ</t>
    </rPh>
    <phoneticPr fontId="5"/>
  </si>
  <si>
    <t>松本市（波田地区）</t>
    <rPh sb="0" eb="3">
      <t>マツモトシ</t>
    </rPh>
    <rPh sb="4" eb="6">
      <t>ハタ</t>
    </rPh>
    <rPh sb="6" eb="8">
      <t>チク</t>
    </rPh>
    <phoneticPr fontId="5"/>
  </si>
  <si>
    <t>松本市（梓川地区）</t>
    <rPh sb="0" eb="3">
      <t>マツモトシ</t>
    </rPh>
    <rPh sb="4" eb="6">
      <t>アズサガワ</t>
    </rPh>
    <rPh sb="6" eb="8">
      <t>チク</t>
    </rPh>
    <phoneticPr fontId="5"/>
  </si>
  <si>
    <t>松本市（四賀地区）</t>
    <rPh sb="0" eb="3">
      <t>マツモトシ</t>
    </rPh>
    <rPh sb="4" eb="6">
      <t>シガ</t>
    </rPh>
    <rPh sb="6" eb="8">
      <t>チク</t>
    </rPh>
    <phoneticPr fontId="5"/>
  </si>
  <si>
    <t>1７．耐震適合性のある管路延長（上水道）</t>
    <rPh sb="3" eb="5">
      <t>タイシン</t>
    </rPh>
    <rPh sb="5" eb="8">
      <t>テキゴウセイ</t>
    </rPh>
    <rPh sb="11" eb="13">
      <t>カンロ</t>
    </rPh>
    <rPh sb="13" eb="15">
      <t>エンチョウ</t>
    </rPh>
    <rPh sb="16" eb="17">
      <t>ジョウ</t>
    </rPh>
    <rPh sb="17" eb="19">
      <t>スイドウ</t>
    </rPh>
    <phoneticPr fontId="6"/>
  </si>
  <si>
    <t>管路全体</t>
    <rPh sb="0" eb="2">
      <t>カンロ</t>
    </rPh>
    <rPh sb="2" eb="4">
      <t>ゼンタイ</t>
    </rPh>
    <phoneticPr fontId="6"/>
  </si>
  <si>
    <t>基幹管路</t>
    <rPh sb="0" eb="2">
      <t>キカン</t>
    </rPh>
    <rPh sb="2" eb="4">
      <t>カンロ</t>
    </rPh>
    <phoneticPr fontId="6"/>
  </si>
  <si>
    <t>全延長
〔X〕
(m)</t>
    <rPh sb="0" eb="1">
      <t>ゼン</t>
    </rPh>
    <rPh sb="1" eb="3">
      <t>エンチョウ</t>
    </rPh>
    <phoneticPr fontId="6"/>
  </si>
  <si>
    <t>耐震適合性のある管路の管種別内訳</t>
    <rPh sb="0" eb="2">
      <t>タイシン</t>
    </rPh>
    <rPh sb="2" eb="5">
      <t>テキゴウセイ</t>
    </rPh>
    <rPh sb="8" eb="10">
      <t>カンロ</t>
    </rPh>
    <rPh sb="11" eb="12">
      <t>カン</t>
    </rPh>
    <rPh sb="12" eb="14">
      <t>シュベツ</t>
    </rPh>
    <rPh sb="14" eb="16">
      <t>ウチワケ</t>
    </rPh>
    <phoneticPr fontId="6"/>
  </si>
  <si>
    <t>耐震適合性のある管〔Y〕</t>
    <rPh sb="0" eb="2">
      <t>タイシン</t>
    </rPh>
    <rPh sb="2" eb="4">
      <t>テキゴウ</t>
    </rPh>
    <rPh sb="4" eb="5">
      <t>セイ</t>
    </rPh>
    <phoneticPr fontId="6"/>
  </si>
  <si>
    <t>硬質塩化ビニル管</t>
    <rPh sb="0" eb="2">
      <t>コウシツ</t>
    </rPh>
    <rPh sb="2" eb="4">
      <t>エンカ</t>
    </rPh>
    <rPh sb="7" eb="8">
      <t>カン</t>
    </rPh>
    <phoneticPr fontId="6"/>
  </si>
  <si>
    <t>ポリエチレン管
（高密度）</t>
    <rPh sb="6" eb="7">
      <t>カン</t>
    </rPh>
    <rPh sb="9" eb="10">
      <t>コウ</t>
    </rPh>
    <rPh sb="10" eb="12">
      <t>ミツド</t>
    </rPh>
    <phoneticPr fontId="6"/>
  </si>
  <si>
    <t>ステンレス管</t>
    <rPh sb="5" eb="6">
      <t>カン</t>
    </rPh>
    <phoneticPr fontId="6"/>
  </si>
  <si>
    <t>全延長
〔X'〕
(m)</t>
    <rPh sb="0" eb="1">
      <t>ゼン</t>
    </rPh>
    <rPh sb="1" eb="3">
      <t>エンチョウ</t>
    </rPh>
    <phoneticPr fontId="6"/>
  </si>
  <si>
    <t>耐震適合性のある管〔Y'〕</t>
    <rPh sb="0" eb="2">
      <t>タイシン</t>
    </rPh>
    <rPh sb="2" eb="4">
      <t>テキゴウ</t>
    </rPh>
    <rPh sb="4" eb="5">
      <t>セイ</t>
    </rPh>
    <phoneticPr fontId="6"/>
  </si>
  <si>
    <t>〔Y=A+B+C
+D+E+F〕</t>
    <phoneticPr fontId="6"/>
  </si>
  <si>
    <t>うち耐震管〔Z〕
〔Z=A+C+E+F〕</t>
    <rPh sb="2" eb="4">
      <t>タイシン</t>
    </rPh>
    <rPh sb="4" eb="5">
      <t>カン</t>
    </rPh>
    <phoneticPr fontId="6"/>
  </si>
  <si>
    <t>耐震型継手
を有する
〔A〕</t>
    <phoneticPr fontId="6"/>
  </si>
  <si>
    <r>
      <t>Ｋ型継手を有するもののうちよい地盤に布設されている</t>
    </r>
    <r>
      <rPr>
        <sz val="6"/>
        <rFont val="ＭＳ Ｐゴシック"/>
        <family val="3"/>
        <charset val="128"/>
      </rPr>
      <t xml:space="preserve">
</t>
    </r>
    <r>
      <rPr>
        <sz val="9"/>
        <rFont val="ＭＳ Ｐゴシック"/>
        <family val="3"/>
        <charset val="128"/>
      </rPr>
      <t>〔B〕</t>
    </r>
    <phoneticPr fontId="6"/>
  </si>
  <si>
    <t>耐震型継手
を有する
〔C〕</t>
    <rPh sb="0" eb="3">
      <t>タイシンガタ</t>
    </rPh>
    <rPh sb="3" eb="5">
      <t>ツギテ</t>
    </rPh>
    <rPh sb="7" eb="8">
      <t>ユウ</t>
    </rPh>
    <phoneticPr fontId="6"/>
  </si>
  <si>
    <t>ＲＲロング継手
を有する
〔D〕</t>
    <phoneticPr fontId="6"/>
  </si>
  <si>
    <t>耐震型継手
を有する
〔E〕</t>
    <phoneticPr fontId="6"/>
  </si>
  <si>
    <t>耐震型継手
を有する
〔F〕</t>
    <phoneticPr fontId="6"/>
  </si>
  <si>
    <t>〔Y'=A'+B'+C'
+D'+E'+F'〕</t>
    <phoneticPr fontId="6"/>
  </si>
  <si>
    <t>うち耐震管〔Z'〕
〔Z'=A'+C'+E'
+F'〕</t>
    <rPh sb="2" eb="4">
      <t>タイシン</t>
    </rPh>
    <rPh sb="4" eb="5">
      <t>カン</t>
    </rPh>
    <phoneticPr fontId="6"/>
  </si>
  <si>
    <t>耐震型継手
を有する
〔A'〕</t>
    <phoneticPr fontId="6"/>
  </si>
  <si>
    <r>
      <t>Ｋ型継手を有するもののうちよい地盤に布設されている</t>
    </r>
    <r>
      <rPr>
        <sz val="6"/>
        <rFont val="ＭＳ Ｐゴシック"/>
        <family val="3"/>
        <charset val="128"/>
      </rPr>
      <t xml:space="preserve">
</t>
    </r>
    <r>
      <rPr>
        <sz val="9"/>
        <rFont val="ＭＳ Ｐゴシック"/>
        <family val="3"/>
        <charset val="128"/>
      </rPr>
      <t>〔B'〕</t>
    </r>
    <phoneticPr fontId="6"/>
  </si>
  <si>
    <t>耐震型継手
を有する
〔C'〕</t>
    <rPh sb="0" eb="3">
      <t>タイシンガタ</t>
    </rPh>
    <rPh sb="3" eb="5">
      <t>ツギテ</t>
    </rPh>
    <rPh sb="7" eb="8">
      <t>ユウ</t>
    </rPh>
    <phoneticPr fontId="6"/>
  </si>
  <si>
    <t>ＲＲロング継手
を有する
〔D'〕</t>
    <phoneticPr fontId="6"/>
  </si>
  <si>
    <t>耐震型継手
を有する
〔E'〕</t>
    <phoneticPr fontId="6"/>
  </si>
  <si>
    <t>耐震型継手
を有する
〔F'〕</t>
    <phoneticPr fontId="6"/>
  </si>
  <si>
    <t>Y/X
(%)</t>
    <phoneticPr fontId="6"/>
  </si>
  <si>
    <t>Z/X
(%)</t>
    <phoneticPr fontId="6"/>
  </si>
  <si>
    <t>A/X
(%)</t>
    <phoneticPr fontId="6"/>
  </si>
  <si>
    <t>B/X
(%)</t>
    <phoneticPr fontId="6"/>
  </si>
  <si>
    <t>C/X
(%)</t>
    <phoneticPr fontId="6"/>
  </si>
  <si>
    <t>D/X
(%)</t>
    <phoneticPr fontId="6"/>
  </si>
  <si>
    <t>E/X
(%)</t>
    <phoneticPr fontId="6"/>
  </si>
  <si>
    <t>F/X
(%)</t>
    <phoneticPr fontId="6"/>
  </si>
  <si>
    <t>Y'/X'
(%)</t>
    <phoneticPr fontId="6"/>
  </si>
  <si>
    <t>Z'/X'
(%)</t>
    <phoneticPr fontId="6"/>
  </si>
  <si>
    <t>A'/X'
(%)</t>
    <phoneticPr fontId="6"/>
  </si>
  <si>
    <t>B'/X'
(%)</t>
    <phoneticPr fontId="6"/>
  </si>
  <si>
    <t>C'/X'
(%)</t>
    <phoneticPr fontId="6"/>
  </si>
  <si>
    <t>D'/X'
(%)</t>
    <phoneticPr fontId="6"/>
  </si>
  <si>
    <t>E'/X'
(%)</t>
    <phoneticPr fontId="6"/>
  </si>
  <si>
    <t>F'/X'
(%)</t>
    <phoneticPr fontId="6"/>
  </si>
  <si>
    <t>松本市（波田地区）</t>
    <rPh sb="0" eb="3">
      <t>マツモトシ</t>
    </rPh>
    <rPh sb="4" eb="6">
      <t>ハタ</t>
    </rPh>
    <rPh sb="6" eb="8">
      <t>チク</t>
    </rPh>
    <phoneticPr fontId="6"/>
  </si>
  <si>
    <t>松本市（梓川地区）</t>
    <rPh sb="0" eb="3">
      <t>マツモトシ</t>
    </rPh>
    <rPh sb="4" eb="6">
      <t>アズサガワ</t>
    </rPh>
    <rPh sb="6" eb="8">
      <t>チク</t>
    </rPh>
    <phoneticPr fontId="6"/>
  </si>
  <si>
    <t>塩尻市</t>
    <rPh sb="0" eb="2">
      <t>シオジリ</t>
    </rPh>
    <rPh sb="2" eb="3">
      <t>シ</t>
    </rPh>
    <phoneticPr fontId="6"/>
  </si>
  <si>
    <t>１８．管路の経年化状況（上水道）</t>
    <rPh sb="3" eb="5">
      <t>カンロ</t>
    </rPh>
    <rPh sb="6" eb="9">
      <t>ケイネンカ</t>
    </rPh>
    <rPh sb="9" eb="11">
      <t>ジョウキョウ</t>
    </rPh>
    <rPh sb="12" eb="13">
      <t>ジョウ</t>
    </rPh>
    <rPh sb="13" eb="15">
      <t>スイドウ</t>
    </rPh>
    <phoneticPr fontId="6"/>
  </si>
  <si>
    <t>地域振興局</t>
    <rPh sb="0" eb="5">
      <t>チイキシンコウキョク</t>
    </rPh>
    <phoneticPr fontId="44"/>
  </si>
  <si>
    <t>事業体名</t>
    <rPh sb="0" eb="2">
      <t>ジギョウ</t>
    </rPh>
    <rPh sb="2" eb="3">
      <t>タイ</t>
    </rPh>
    <rPh sb="3" eb="4">
      <t>メイ</t>
    </rPh>
    <phoneticPr fontId="44"/>
  </si>
  <si>
    <t>御代田町</t>
    <rPh sb="0" eb="4">
      <t>ミヨタマチ</t>
    </rPh>
    <phoneticPr fontId="44"/>
  </si>
  <si>
    <t>立科町</t>
    <rPh sb="0" eb="3">
      <t>タテシナマチ</t>
    </rPh>
    <phoneticPr fontId="44"/>
  </si>
  <si>
    <t>松本市（松本地区）</t>
    <rPh sb="0" eb="3">
      <t>マツモトシ</t>
    </rPh>
    <rPh sb="4" eb="6">
      <t>マツモト</t>
    </rPh>
    <rPh sb="6" eb="8">
      <t>チク</t>
    </rPh>
    <phoneticPr fontId="44"/>
  </si>
  <si>
    <t>松本市（波田地区）</t>
    <rPh sb="0" eb="3">
      <t>マツモトシ</t>
    </rPh>
    <rPh sb="4" eb="6">
      <t>ハタ</t>
    </rPh>
    <rPh sb="6" eb="8">
      <t>チク</t>
    </rPh>
    <phoneticPr fontId="44"/>
  </si>
  <si>
    <t>松本市（梓川地区）</t>
    <rPh sb="0" eb="3">
      <t>マツモトシ</t>
    </rPh>
    <rPh sb="4" eb="6">
      <t>アズサガワ</t>
    </rPh>
    <rPh sb="6" eb="8">
      <t>チク</t>
    </rPh>
    <phoneticPr fontId="44"/>
  </si>
  <si>
    <t>松本市（四賀地区）</t>
    <rPh sb="0" eb="3">
      <t>マツモトシ</t>
    </rPh>
    <rPh sb="4" eb="6">
      <t>シガ</t>
    </rPh>
    <rPh sb="6" eb="8">
      <t>チク</t>
    </rPh>
    <phoneticPr fontId="44"/>
  </si>
  <si>
    <t>１９．施設耐震化状況及び災害時確保水量（上水道）</t>
    <rPh sb="3" eb="5">
      <t>シセツ</t>
    </rPh>
    <rPh sb="5" eb="8">
      <t>タイシンカ</t>
    </rPh>
    <rPh sb="8" eb="10">
      <t>ジョウキョウ</t>
    </rPh>
    <rPh sb="10" eb="11">
      <t>オヨ</t>
    </rPh>
    <rPh sb="12" eb="14">
      <t>サイガイ</t>
    </rPh>
    <rPh sb="14" eb="15">
      <t>ジ</t>
    </rPh>
    <rPh sb="15" eb="17">
      <t>カクホ</t>
    </rPh>
    <rPh sb="17" eb="19">
      <t>スイリョウ</t>
    </rPh>
    <rPh sb="20" eb="21">
      <t>ジョウ</t>
    </rPh>
    <rPh sb="21" eb="23">
      <t>スイドウ</t>
    </rPh>
    <phoneticPr fontId="6"/>
  </si>
  <si>
    <t>災害時確保水量</t>
    <rPh sb="0" eb="2">
      <t>サイガイ</t>
    </rPh>
    <rPh sb="2" eb="3">
      <t>ジ</t>
    </rPh>
    <rPh sb="3" eb="5">
      <t>カクホ</t>
    </rPh>
    <rPh sb="5" eb="7">
      <t>スイリョウ</t>
    </rPh>
    <phoneticPr fontId="6"/>
  </si>
  <si>
    <t>総浄水
能力
（m3/日）</t>
    <rPh sb="0" eb="1">
      <t>ソウ</t>
    </rPh>
    <rPh sb="1" eb="3">
      <t>ジョウスイ</t>
    </rPh>
    <rPh sb="4" eb="6">
      <t>ノウリョク</t>
    </rPh>
    <rPh sb="11" eb="12">
      <t>ニチ</t>
    </rPh>
    <phoneticPr fontId="43"/>
  </si>
  <si>
    <t>総有効 容量
（m3/日)</t>
    <rPh sb="0" eb="1">
      <t>ソウ</t>
    </rPh>
    <rPh sb="1" eb="3">
      <t>ユウコウ</t>
    </rPh>
    <rPh sb="4" eb="6">
      <t>ヨウリョウ</t>
    </rPh>
    <rPh sb="11" eb="12">
      <t>ニチ</t>
    </rPh>
    <phoneticPr fontId="43"/>
  </si>
  <si>
    <t>配水池等</t>
    <rPh sb="0" eb="2">
      <t>ハイスイ</t>
    </rPh>
    <rPh sb="2" eb="3">
      <t>チ</t>
    </rPh>
    <rPh sb="3" eb="4">
      <t>トウ</t>
    </rPh>
    <phoneticPr fontId="6"/>
  </si>
  <si>
    <t>井戸</t>
    <phoneticPr fontId="6"/>
  </si>
  <si>
    <t>緊急用貯水槽等</t>
    <phoneticPr fontId="6"/>
  </si>
  <si>
    <t>災害時対応箇所数</t>
    <rPh sb="0" eb="2">
      <t>サイガイ</t>
    </rPh>
    <rPh sb="2" eb="3">
      <t>ジ</t>
    </rPh>
    <rPh sb="3" eb="5">
      <t>タイオウ</t>
    </rPh>
    <phoneticPr fontId="6"/>
  </si>
  <si>
    <t>飲料水・
生活用水
（時間）</t>
    <phoneticPr fontId="6"/>
  </si>
  <si>
    <t>飲料水・
生活用水
揚水量
（m3/時間）</t>
    <rPh sb="10" eb="12">
      <t>ヨウスイ</t>
    </rPh>
    <rPh sb="12" eb="13">
      <t>リョウ</t>
    </rPh>
    <phoneticPr fontId="6"/>
  </si>
  <si>
    <t>水道事業体設置</t>
    <phoneticPr fontId="6"/>
  </si>
  <si>
    <t>自治体設置</t>
    <phoneticPr fontId="6"/>
  </si>
  <si>
    <t>浄水
能力
（m3/日)</t>
    <rPh sb="0" eb="2">
      <t>ジョウスイ</t>
    </rPh>
    <rPh sb="3" eb="5">
      <t>ノウリョク</t>
    </rPh>
    <rPh sb="10" eb="11">
      <t>ニチ</t>
    </rPh>
    <phoneticPr fontId="43"/>
  </si>
  <si>
    <t>有効
容量
（m3/日)</t>
    <rPh sb="0" eb="2">
      <t>ユウコウ</t>
    </rPh>
    <rPh sb="3" eb="5">
      <t>ヨウリョウ</t>
    </rPh>
    <rPh sb="10" eb="11">
      <t>ニチ</t>
    </rPh>
    <phoneticPr fontId="43"/>
  </si>
  <si>
    <t>水道事業体管理</t>
    <phoneticPr fontId="6"/>
  </si>
  <si>
    <t>自治体管理</t>
    <phoneticPr fontId="6"/>
  </si>
  <si>
    <t>箇所数</t>
    <phoneticPr fontId="6"/>
  </si>
  <si>
    <t>飲料水・
生活用水
計画容量
（m3)</t>
    <rPh sb="10" eb="12">
      <t>ケイカク</t>
    </rPh>
    <rPh sb="12" eb="14">
      <t>ヨウリョウ</t>
    </rPh>
    <phoneticPr fontId="6"/>
  </si>
  <si>
    <t>飲料水・
生活用水
計画容量
(m3)</t>
    <phoneticPr fontId="6"/>
  </si>
  <si>
    <t>飲料水・
生活用水
計画容量
(m3)</t>
  </si>
  <si>
    <t>東御市</t>
    <rPh sb="0" eb="3">
      <t>トウミシ</t>
    </rPh>
    <phoneticPr fontId="6"/>
  </si>
  <si>
    <t>塩尻市</t>
    <rPh sb="0" eb="2">
      <t>シオジリ</t>
    </rPh>
    <rPh sb="2" eb="3">
      <t>シ</t>
    </rPh>
    <phoneticPr fontId="51"/>
  </si>
  <si>
    <t>安曇野市</t>
    <rPh sb="0" eb="2">
      <t>アヅミ</t>
    </rPh>
    <rPh sb="2" eb="3">
      <t>ノ</t>
    </rPh>
    <rPh sb="3" eb="4">
      <t>シ</t>
    </rPh>
    <phoneticPr fontId="51"/>
  </si>
  <si>
    <t>２０．財務状況（上水道）</t>
    <rPh sb="3" eb="5">
      <t>ザイム</t>
    </rPh>
    <rPh sb="5" eb="7">
      <t>ジョウキョウ</t>
    </rPh>
    <rPh sb="8" eb="9">
      <t>ジョウ</t>
    </rPh>
    <rPh sb="9" eb="11">
      <t>スイドウ</t>
    </rPh>
    <phoneticPr fontId="6"/>
  </si>
  <si>
    <t>［金額単位：千円］</t>
    <rPh sb="1" eb="3">
      <t>キンガク</t>
    </rPh>
    <rPh sb="3" eb="5">
      <t>タンイ</t>
    </rPh>
    <rPh sb="6" eb="8">
      <t>センエン</t>
    </rPh>
    <phoneticPr fontId="6"/>
  </si>
  <si>
    <t>上田</t>
    <rPh sb="0" eb="2">
      <t>ウエダ</t>
    </rPh>
    <phoneticPr fontId="10"/>
  </si>
  <si>
    <t>上伊那</t>
    <rPh sb="0" eb="3">
      <t>カミイナ</t>
    </rPh>
    <phoneticPr fontId="44"/>
  </si>
  <si>
    <t>南信州</t>
    <rPh sb="0" eb="3">
      <t>ミナミシンシュウ</t>
    </rPh>
    <phoneticPr fontId="44"/>
  </si>
  <si>
    <t>北アルプス</t>
    <rPh sb="0" eb="1">
      <t>キタ</t>
    </rPh>
    <phoneticPr fontId="10"/>
  </si>
  <si>
    <t>長野</t>
    <rPh sb="0" eb="2">
      <t>ナガノ</t>
    </rPh>
    <phoneticPr fontId="10"/>
  </si>
  <si>
    <t>小諸市</t>
    <rPh sb="0" eb="3">
      <t>コモロシ</t>
    </rPh>
    <phoneticPr fontId="10"/>
  </si>
  <si>
    <t>小海町</t>
    <rPh sb="0" eb="3">
      <t>コウミマチ</t>
    </rPh>
    <phoneticPr fontId="10"/>
  </si>
  <si>
    <t>軽井沢町</t>
    <rPh sb="0" eb="4">
      <t>カルイザワマチ</t>
    </rPh>
    <phoneticPr fontId="10"/>
  </si>
  <si>
    <t>立科町</t>
    <rPh sb="0" eb="3">
      <t>タテシナマチ</t>
    </rPh>
    <phoneticPr fontId="10"/>
  </si>
  <si>
    <t>佐久水道
企業団</t>
    <rPh sb="0" eb="2">
      <t>サク</t>
    </rPh>
    <rPh sb="2" eb="4">
      <t>スイドウ</t>
    </rPh>
    <rPh sb="5" eb="7">
      <t>キギョウ</t>
    </rPh>
    <rPh sb="7" eb="8">
      <t>ダン</t>
    </rPh>
    <phoneticPr fontId="10"/>
  </si>
  <si>
    <t>㈱八ヶ岳
高原ロッジ</t>
    <rPh sb="1" eb="4">
      <t>ヤツガタケ</t>
    </rPh>
    <rPh sb="5" eb="7">
      <t>コウゲン</t>
    </rPh>
    <phoneticPr fontId="10"/>
  </si>
  <si>
    <t>上田市</t>
    <rPh sb="0" eb="3">
      <t>ウエダシ</t>
    </rPh>
    <phoneticPr fontId="10"/>
  </si>
  <si>
    <t>東御市</t>
    <rPh sb="0" eb="1">
      <t>ヒガシ</t>
    </rPh>
    <rPh sb="1" eb="2">
      <t>ゴ</t>
    </rPh>
    <rPh sb="2" eb="3">
      <t>シ</t>
    </rPh>
    <phoneticPr fontId="10"/>
  </si>
  <si>
    <t>長和町</t>
    <rPh sb="0" eb="3">
      <t>ナガワマチ</t>
    </rPh>
    <phoneticPr fontId="10"/>
  </si>
  <si>
    <t>岡谷市</t>
    <rPh sb="0" eb="3">
      <t>オカヤシ</t>
    </rPh>
    <phoneticPr fontId="10"/>
  </si>
  <si>
    <t>諏訪市</t>
    <rPh sb="0" eb="3">
      <t>スワシ</t>
    </rPh>
    <phoneticPr fontId="10"/>
  </si>
  <si>
    <t>茅野市</t>
    <rPh sb="0" eb="3">
      <t>チノシ</t>
    </rPh>
    <phoneticPr fontId="10"/>
  </si>
  <si>
    <t>下諏訪町</t>
    <rPh sb="0" eb="4">
      <t>シモスワマチ</t>
    </rPh>
    <phoneticPr fontId="10"/>
  </si>
  <si>
    <t>富士見町</t>
    <rPh sb="0" eb="4">
      <t>フジミマチ</t>
    </rPh>
    <phoneticPr fontId="10"/>
  </si>
  <si>
    <t>原村</t>
    <rPh sb="0" eb="2">
      <t>ハラムラ</t>
    </rPh>
    <phoneticPr fontId="10"/>
  </si>
  <si>
    <t>東洋観光
事業㈱</t>
    <rPh sb="0" eb="2">
      <t>トウヨウ</t>
    </rPh>
    <rPh sb="2" eb="4">
      <t>カンコウ</t>
    </rPh>
    <rPh sb="5" eb="7">
      <t>ジギョウ</t>
    </rPh>
    <phoneticPr fontId="10"/>
  </si>
  <si>
    <t>㈱蓼科
ビレッジ</t>
    <rPh sb="1" eb="3">
      <t>タテシナ</t>
    </rPh>
    <phoneticPr fontId="10"/>
  </si>
  <si>
    <t>㈱三井の森</t>
    <rPh sb="1" eb="3">
      <t>ミツイ</t>
    </rPh>
    <rPh sb="4" eb="5">
      <t>モリ</t>
    </rPh>
    <phoneticPr fontId="10"/>
  </si>
  <si>
    <t>東急不動産
㈱</t>
    <rPh sb="0" eb="2">
      <t>トウキュウ</t>
    </rPh>
    <rPh sb="2" eb="5">
      <t>フドウサン</t>
    </rPh>
    <phoneticPr fontId="10"/>
  </si>
  <si>
    <t>鹿島リゾート㈱</t>
    <rPh sb="0" eb="2">
      <t>カジマ</t>
    </rPh>
    <phoneticPr fontId="10"/>
  </si>
  <si>
    <t>伊那市</t>
    <rPh sb="0" eb="3">
      <t>イナシ</t>
    </rPh>
    <phoneticPr fontId="10"/>
  </si>
  <si>
    <t>駒ヶ根市</t>
    <rPh sb="0" eb="4">
      <t>コマガネシ</t>
    </rPh>
    <phoneticPr fontId="10"/>
  </si>
  <si>
    <t>辰野町</t>
    <rPh sb="0" eb="3">
      <t>タツノマチ</t>
    </rPh>
    <phoneticPr fontId="10"/>
  </si>
  <si>
    <t>箕輪町</t>
    <rPh sb="0" eb="3">
      <t>ミノワマチ</t>
    </rPh>
    <phoneticPr fontId="10"/>
  </si>
  <si>
    <t>飯島町</t>
    <rPh sb="0" eb="3">
      <t>イイジママチ</t>
    </rPh>
    <phoneticPr fontId="10"/>
  </si>
  <si>
    <t>南箕輪村</t>
    <rPh sb="0" eb="4">
      <t>ミナミミノワムラ</t>
    </rPh>
    <phoneticPr fontId="10"/>
  </si>
  <si>
    <t>中川村</t>
    <rPh sb="0" eb="3">
      <t>ナカガワムラ</t>
    </rPh>
    <phoneticPr fontId="10"/>
  </si>
  <si>
    <t>宮田村</t>
    <rPh sb="0" eb="3">
      <t>ミヤダムラ</t>
    </rPh>
    <phoneticPr fontId="10"/>
  </si>
  <si>
    <t>飯田市</t>
    <rPh sb="0" eb="3">
      <t>イイダシ</t>
    </rPh>
    <phoneticPr fontId="10"/>
  </si>
  <si>
    <t>松川町</t>
    <rPh sb="0" eb="3">
      <t>マツカワマチ</t>
    </rPh>
    <phoneticPr fontId="10"/>
  </si>
  <si>
    <t>高森町</t>
    <rPh sb="0" eb="3">
      <t>タカモリマチ</t>
    </rPh>
    <phoneticPr fontId="10"/>
  </si>
  <si>
    <t>木曽町</t>
    <rPh sb="0" eb="3">
      <t>キソマチ</t>
    </rPh>
    <phoneticPr fontId="10"/>
  </si>
  <si>
    <t>松本市
（松本地区）</t>
    <rPh sb="0" eb="3">
      <t>マツモトシ</t>
    </rPh>
    <rPh sb="5" eb="7">
      <t>マツモト</t>
    </rPh>
    <rPh sb="7" eb="9">
      <t>チク</t>
    </rPh>
    <phoneticPr fontId="10"/>
  </si>
  <si>
    <t>松本市
（波田地区）</t>
    <rPh sb="0" eb="3">
      <t>マツモトシ</t>
    </rPh>
    <rPh sb="5" eb="7">
      <t>ハタ</t>
    </rPh>
    <rPh sb="7" eb="9">
      <t>チク</t>
    </rPh>
    <phoneticPr fontId="10"/>
  </si>
  <si>
    <t>松本市
（梓川地区）</t>
    <rPh sb="0" eb="3">
      <t>マツモトシ</t>
    </rPh>
    <rPh sb="5" eb="6">
      <t>アズサ</t>
    </rPh>
    <rPh sb="6" eb="7">
      <t>ガワ</t>
    </rPh>
    <rPh sb="7" eb="9">
      <t>チク</t>
    </rPh>
    <phoneticPr fontId="10"/>
  </si>
  <si>
    <t>松本市
（四賀地区）</t>
    <rPh sb="0" eb="3">
      <t>マツモトシ</t>
    </rPh>
    <rPh sb="5" eb="7">
      <t>シガ</t>
    </rPh>
    <rPh sb="7" eb="9">
      <t>チク</t>
    </rPh>
    <phoneticPr fontId="10"/>
  </si>
  <si>
    <t>塩尻市</t>
    <rPh sb="0" eb="3">
      <t>シオジリシ</t>
    </rPh>
    <phoneticPr fontId="10"/>
  </si>
  <si>
    <t>山形村</t>
    <rPh sb="0" eb="2">
      <t>ヤマガタ</t>
    </rPh>
    <rPh sb="2" eb="3">
      <t>ムラ</t>
    </rPh>
    <phoneticPr fontId="10"/>
  </si>
  <si>
    <t>大町市</t>
    <rPh sb="0" eb="3">
      <t>オオマチシ</t>
    </rPh>
    <phoneticPr fontId="10"/>
  </si>
  <si>
    <t>池田町</t>
    <rPh sb="0" eb="3">
      <t>イケダマチ</t>
    </rPh>
    <phoneticPr fontId="10"/>
  </si>
  <si>
    <t>松川村</t>
    <rPh sb="0" eb="3">
      <t>マツカワムラ</t>
    </rPh>
    <phoneticPr fontId="10"/>
  </si>
  <si>
    <t>白馬村</t>
    <rPh sb="0" eb="3">
      <t>ハクバムラ</t>
    </rPh>
    <phoneticPr fontId="10"/>
  </si>
  <si>
    <t>長野県</t>
    <rPh sb="0" eb="3">
      <t>ナガノケン</t>
    </rPh>
    <phoneticPr fontId="10"/>
  </si>
  <si>
    <t>長野市</t>
    <rPh sb="0" eb="3">
      <t>ナガノシ</t>
    </rPh>
    <phoneticPr fontId="10"/>
  </si>
  <si>
    <t>須坂市</t>
    <rPh sb="0" eb="3">
      <t>スザカシ</t>
    </rPh>
    <phoneticPr fontId="10"/>
  </si>
  <si>
    <t>千曲市</t>
    <rPh sb="0" eb="2">
      <t>チクマ</t>
    </rPh>
    <rPh sb="2" eb="3">
      <t>シ</t>
    </rPh>
    <phoneticPr fontId="10"/>
  </si>
  <si>
    <t>小布施町</t>
    <rPh sb="0" eb="4">
      <t>オブセマチ</t>
    </rPh>
    <phoneticPr fontId="10"/>
  </si>
  <si>
    <t>高山村</t>
    <rPh sb="0" eb="3">
      <t>タカヤマムラ</t>
    </rPh>
    <phoneticPr fontId="10"/>
  </si>
  <si>
    <t>信濃町</t>
    <rPh sb="0" eb="3">
      <t>シナノマチ</t>
    </rPh>
    <phoneticPr fontId="10"/>
  </si>
  <si>
    <t>飯綱町
（牟礼地区）</t>
    <rPh sb="0" eb="3">
      <t>イイヅナチョウ</t>
    </rPh>
    <rPh sb="5" eb="7">
      <t>ムレイ</t>
    </rPh>
    <rPh sb="7" eb="9">
      <t>チク</t>
    </rPh>
    <phoneticPr fontId="10"/>
  </si>
  <si>
    <t>飯綱町
（三水地区）</t>
    <rPh sb="0" eb="1">
      <t>イイ</t>
    </rPh>
    <rPh sb="1" eb="2">
      <t>ツナ</t>
    </rPh>
    <rPh sb="2" eb="3">
      <t>マチ</t>
    </rPh>
    <rPh sb="5" eb="7">
      <t>サミズ</t>
    </rPh>
    <rPh sb="7" eb="9">
      <t>チク</t>
    </rPh>
    <phoneticPr fontId="10"/>
  </si>
  <si>
    <t>中野市</t>
    <rPh sb="0" eb="2">
      <t>ナカノ</t>
    </rPh>
    <rPh sb="2" eb="3">
      <t>シ</t>
    </rPh>
    <phoneticPr fontId="10"/>
  </si>
  <si>
    <t>飯山市</t>
    <rPh sb="0" eb="3">
      <t>イイヤマシ</t>
    </rPh>
    <phoneticPr fontId="10"/>
  </si>
  <si>
    <t>山ノ内町</t>
    <rPh sb="0" eb="1">
      <t>ヤマ</t>
    </rPh>
    <rPh sb="2" eb="4">
      <t>ウチマチ</t>
    </rPh>
    <phoneticPr fontId="10"/>
  </si>
  <si>
    <t>木島平村</t>
    <rPh sb="0" eb="4">
      <t>キジマダイラムラ</t>
    </rPh>
    <phoneticPr fontId="10"/>
  </si>
  <si>
    <t>野沢温泉村</t>
    <rPh sb="0" eb="5">
      <t>ノザワオンセンムラ</t>
    </rPh>
    <phoneticPr fontId="10"/>
  </si>
  <si>
    <t>　（２）　営業外収益 [(ア)～(カ)]</t>
    <phoneticPr fontId="44"/>
  </si>
  <si>
    <t>　　　（ア）受取利息及び配当金</t>
    <phoneticPr fontId="44"/>
  </si>
  <si>
    <t>　　　（ア）受取利息及び配当金 （千円）</t>
  </si>
  <si>
    <t>　　　（イ）受託工事収益</t>
    <phoneticPr fontId="44"/>
  </si>
  <si>
    <t>　　　（イ）受託工事収益 （千円）</t>
  </si>
  <si>
    <t>　　　（ウ）国庫（県）補助金</t>
    <phoneticPr fontId="44"/>
  </si>
  <si>
    <t>　　　（ウ）国庫（県）補助金 （千円）</t>
  </si>
  <si>
    <t>　　　（エ）他会計補助金</t>
    <phoneticPr fontId="44"/>
  </si>
  <si>
    <t>　　　（エ）他会計補助金 （千円）</t>
  </si>
  <si>
    <t>　　　（オ）長期前受金戻入</t>
    <phoneticPr fontId="44"/>
  </si>
  <si>
    <t>　　　（オ）長期前受金戻入（千円）</t>
  </si>
  <si>
    <t xml:space="preserve">　　　（カ）雑収益 </t>
    <phoneticPr fontId="44"/>
  </si>
  <si>
    <t>　　　（カ）雑収益 （千円）</t>
  </si>
  <si>
    <t xml:space="preserve">　　　（エ）受託工事費 </t>
    <phoneticPr fontId="44"/>
  </si>
  <si>
    <t>　　　（エ）受託工事費 （千円）</t>
  </si>
  <si>
    <t>　　（ア）政府債</t>
  </si>
  <si>
    <t>　　（イ）機構債</t>
    <phoneticPr fontId="44"/>
  </si>
  <si>
    <t>　　（ウ）その他</t>
    <rPh sb="7" eb="8">
      <t>タ</t>
    </rPh>
    <phoneticPr fontId="6"/>
  </si>
  <si>
    <t>　　（エ）借換債</t>
    <rPh sb="5" eb="7">
      <t>カリカエ</t>
    </rPh>
    <rPh sb="7" eb="8">
      <t>サイ</t>
    </rPh>
    <phoneticPr fontId="6"/>
  </si>
  <si>
    <t>年間有収水量（千m3）(分水量含む）</t>
    <rPh sb="12" eb="13">
      <t>ブン</t>
    </rPh>
    <rPh sb="13" eb="15">
      <t>スイリョウ</t>
    </rPh>
    <rPh sb="15" eb="16">
      <t>フク</t>
    </rPh>
    <phoneticPr fontId="6"/>
  </si>
  <si>
    <t>２１．事業計画概要、給水人口、普及率、給水量及び料金（簡易水道）</t>
    <rPh sb="3" eb="5">
      <t>ジギョウ</t>
    </rPh>
    <rPh sb="5" eb="7">
      <t>ケイカク</t>
    </rPh>
    <rPh sb="7" eb="9">
      <t>ガイヨウ</t>
    </rPh>
    <rPh sb="10" eb="12">
      <t>キュウスイ</t>
    </rPh>
    <rPh sb="12" eb="14">
      <t>ジンコウ</t>
    </rPh>
    <rPh sb="15" eb="17">
      <t>フキュウ</t>
    </rPh>
    <rPh sb="17" eb="18">
      <t>リツ</t>
    </rPh>
    <rPh sb="19" eb="20">
      <t>キュウ</t>
    </rPh>
    <rPh sb="20" eb="22">
      <t>スイリョウ</t>
    </rPh>
    <rPh sb="22" eb="23">
      <t>オヨ</t>
    </rPh>
    <rPh sb="24" eb="26">
      <t>リョウキン</t>
    </rPh>
    <rPh sb="27" eb="29">
      <t>カンイ</t>
    </rPh>
    <rPh sb="29" eb="31">
      <t>スイドウ</t>
    </rPh>
    <phoneticPr fontId="6"/>
  </si>
  <si>
    <t>市町村</t>
    <phoneticPr fontId="6"/>
  </si>
  <si>
    <t>事業名</t>
    <phoneticPr fontId="6"/>
  </si>
  <si>
    <t>経営主体種別</t>
  </si>
  <si>
    <t>認可年月日</t>
    <rPh sb="2" eb="5">
      <t>ネンガッピ</t>
    </rPh>
    <phoneticPr fontId="6"/>
  </si>
  <si>
    <t>給水人口（人）</t>
    <rPh sb="5" eb="6">
      <t>ニン</t>
    </rPh>
    <phoneticPr fontId="6"/>
  </si>
  <si>
    <t>給水区域内人口
（人）</t>
    <rPh sb="9" eb="10">
      <t>ニン</t>
    </rPh>
    <phoneticPr fontId="6"/>
  </si>
  <si>
    <t>給水
普及率（%）</t>
    <rPh sb="0" eb="2">
      <t>キュウスイ</t>
    </rPh>
    <rPh sb="3" eb="4">
      <t>ススム</t>
    </rPh>
    <rPh sb="4" eb="5">
      <t>オヨブ</t>
    </rPh>
    <rPh sb="5" eb="6">
      <t>リツ</t>
    </rPh>
    <phoneticPr fontId="6"/>
  </si>
  <si>
    <r>
      <t>年間給水量
（m</t>
    </r>
    <r>
      <rPr>
        <vertAlign val="superscript"/>
        <sz val="9"/>
        <rFont val="ＭＳ Ｐゴシック"/>
        <family val="3"/>
        <charset val="128"/>
      </rPr>
      <t>3</t>
    </r>
    <r>
      <rPr>
        <sz val="9"/>
        <rFont val="ＭＳ Ｐゴシック"/>
        <family val="3"/>
        <charset val="128"/>
      </rPr>
      <t>）</t>
    </r>
    <phoneticPr fontId="6"/>
  </si>
  <si>
    <r>
      <t>一日給水量
（m</t>
    </r>
    <r>
      <rPr>
        <vertAlign val="superscript"/>
        <sz val="9"/>
        <rFont val="ＭＳ Ｐゴシック"/>
        <family val="3"/>
        <charset val="128"/>
      </rPr>
      <t>3</t>
    </r>
    <r>
      <rPr>
        <sz val="9"/>
        <rFont val="ＭＳ Ｐゴシック"/>
        <family val="3"/>
        <charset val="128"/>
      </rPr>
      <t>）</t>
    </r>
    <rPh sb="0" eb="2">
      <t>イチニチ</t>
    </rPh>
    <phoneticPr fontId="6"/>
  </si>
  <si>
    <t>一人一日給水量
（ﾘｯﾄﾙ）</t>
    <rPh sb="0" eb="2">
      <t>ヒトリ</t>
    </rPh>
    <rPh sb="2" eb="4">
      <t>イチニチ</t>
    </rPh>
    <phoneticPr fontId="6"/>
  </si>
  <si>
    <t>給水量比率
（%）</t>
    <rPh sb="0" eb="1">
      <t>キュウ</t>
    </rPh>
    <rPh sb="1" eb="3">
      <t>スイリョウ</t>
    </rPh>
    <rPh sb="3" eb="5">
      <t>ヒリツ</t>
    </rPh>
    <phoneticPr fontId="6"/>
  </si>
  <si>
    <t>水道料金</t>
    <rPh sb="0" eb="2">
      <t>スイドウ</t>
    </rPh>
    <rPh sb="2" eb="4">
      <t>リョウキン</t>
    </rPh>
    <phoneticPr fontId="6"/>
  </si>
  <si>
    <t>元号</t>
    <phoneticPr fontId="6"/>
  </si>
  <si>
    <t>年</t>
    <phoneticPr fontId="6"/>
  </si>
  <si>
    <t>月</t>
    <phoneticPr fontId="6"/>
  </si>
  <si>
    <t>日</t>
    <phoneticPr fontId="6"/>
  </si>
  <si>
    <t>計画</t>
    <phoneticPr fontId="6"/>
  </si>
  <si>
    <t>現在</t>
    <phoneticPr fontId="6"/>
  </si>
  <si>
    <t>年間
給水量</t>
    <phoneticPr fontId="6"/>
  </si>
  <si>
    <t>有効水量</t>
    <rPh sb="0" eb="2">
      <t>ユウコウ</t>
    </rPh>
    <rPh sb="2" eb="4">
      <t>スイリョウ</t>
    </rPh>
    <phoneticPr fontId="6"/>
  </si>
  <si>
    <t>有収水量</t>
    <rPh sb="0" eb="1">
      <t>ユウ</t>
    </rPh>
    <rPh sb="1" eb="2">
      <t>シュウ</t>
    </rPh>
    <rPh sb="2" eb="4">
      <t>スイリョウ</t>
    </rPh>
    <phoneticPr fontId="6"/>
  </si>
  <si>
    <t>計画
最大</t>
    <phoneticPr fontId="6"/>
  </si>
  <si>
    <t>実績
最大</t>
    <phoneticPr fontId="6"/>
  </si>
  <si>
    <t>実績
平均</t>
    <rPh sb="0" eb="2">
      <t>ジッセキ</t>
    </rPh>
    <rPh sb="3" eb="5">
      <t>ヘイキン</t>
    </rPh>
    <phoneticPr fontId="6"/>
  </si>
  <si>
    <t>有効率</t>
    <rPh sb="0" eb="3">
      <t>ユウコウリツ</t>
    </rPh>
    <phoneticPr fontId="6"/>
  </si>
  <si>
    <t>有収率</t>
    <rPh sb="0" eb="1">
      <t>ユウ</t>
    </rPh>
    <rPh sb="1" eb="2">
      <t>シュウ</t>
    </rPh>
    <rPh sb="2" eb="3">
      <t>リツ</t>
    </rPh>
    <phoneticPr fontId="6"/>
  </si>
  <si>
    <t>負荷率</t>
    <rPh sb="0" eb="2">
      <t>フカ</t>
    </rPh>
    <rPh sb="2" eb="3">
      <t>リツ</t>
    </rPh>
    <phoneticPr fontId="6"/>
  </si>
  <si>
    <t>料金
体系</t>
    <phoneticPr fontId="6"/>
  </si>
  <si>
    <t>佐久</t>
  </si>
  <si>
    <t>菱野</t>
  </si>
  <si>
    <t>市営</t>
    <rPh sb="0" eb="2">
      <t>シエイ</t>
    </rPh>
    <phoneticPr fontId="43"/>
  </si>
  <si>
    <t>定額</t>
  </si>
  <si>
    <t>佐久市</t>
    <rPh sb="0" eb="3">
      <t>サクシ</t>
    </rPh>
    <phoneticPr fontId="44"/>
  </si>
  <si>
    <t>うぐいすの森自治会</t>
    <rPh sb="5" eb="6">
      <t>モリ</t>
    </rPh>
    <rPh sb="6" eb="9">
      <t>ジチカイ</t>
    </rPh>
    <phoneticPr fontId="44"/>
  </si>
  <si>
    <t>住民組合営</t>
    <rPh sb="0" eb="2">
      <t>ジュウミン</t>
    </rPh>
    <rPh sb="2" eb="4">
      <t>クミアイ</t>
    </rPh>
    <rPh sb="4" eb="5">
      <t>エイ</t>
    </rPh>
    <phoneticPr fontId="43"/>
  </si>
  <si>
    <t>小海町</t>
  </si>
  <si>
    <t>三区</t>
  </si>
  <si>
    <t>町営</t>
    <rPh sb="0" eb="2">
      <t>チョウエイ</t>
    </rPh>
    <phoneticPr fontId="43"/>
  </si>
  <si>
    <t>川平</t>
  </si>
  <si>
    <t>親沢</t>
  </si>
  <si>
    <t>佐久穂町</t>
  </si>
  <si>
    <t>宿岩</t>
  </si>
  <si>
    <t>八千穂高原</t>
  </si>
  <si>
    <t>シャトレーゼリゾート八ヶ岳</t>
  </si>
  <si>
    <t>私営</t>
    <rPh sb="0" eb="1">
      <t>ワタクシ</t>
    </rPh>
    <rPh sb="1" eb="2">
      <t>エイ</t>
    </rPh>
    <phoneticPr fontId="43"/>
  </si>
  <si>
    <t>川上村</t>
    <rPh sb="0" eb="2">
      <t>カワカミ</t>
    </rPh>
    <rPh sb="2" eb="3">
      <t>ムラ</t>
    </rPh>
    <phoneticPr fontId="6"/>
  </si>
  <si>
    <t>村営</t>
    <rPh sb="0" eb="2">
      <t>ソンエイ</t>
    </rPh>
    <phoneticPr fontId="6"/>
  </si>
  <si>
    <t>南牧村</t>
    <rPh sb="0" eb="3">
      <t>ミナミマキムラ</t>
    </rPh>
    <phoneticPr fontId="44"/>
  </si>
  <si>
    <t>村営</t>
    <rPh sb="0" eb="2">
      <t>ソンエイ</t>
    </rPh>
    <phoneticPr fontId="43"/>
  </si>
  <si>
    <t>丸紅南軽井沢別荘地</t>
    <rPh sb="6" eb="9">
      <t>ベッソウチ</t>
    </rPh>
    <phoneticPr fontId="44"/>
  </si>
  <si>
    <t>太陽の森</t>
  </si>
  <si>
    <t>離山</t>
  </si>
  <si>
    <t>軽井沢湖畔保養地</t>
  </si>
  <si>
    <t>-</t>
    <phoneticPr fontId="44"/>
  </si>
  <si>
    <t>用途別</t>
  </si>
  <si>
    <t>千ヶ滝</t>
  </si>
  <si>
    <t>三井不動産中軽井沢別荘地</t>
  </si>
  <si>
    <t>太平洋興発軽井沢別荘地</t>
  </si>
  <si>
    <t>八風の郷</t>
  </si>
  <si>
    <t>土屋別荘地</t>
  </si>
  <si>
    <t>旧軽井沢倶楽部</t>
  </si>
  <si>
    <t>姥・中尾</t>
    <phoneticPr fontId="44"/>
  </si>
  <si>
    <t>夢の平</t>
  </si>
  <si>
    <t>白樺湖</t>
  </si>
  <si>
    <t>〔平均〕</t>
    <rPh sb="1" eb="3">
      <t>ヘイキン</t>
    </rPh>
    <phoneticPr fontId="44"/>
  </si>
  <si>
    <t>上田</t>
    <rPh sb="0" eb="2">
      <t>ウエダ</t>
    </rPh>
    <phoneticPr fontId="44"/>
  </si>
  <si>
    <t>鹿教湯</t>
  </si>
  <si>
    <t>真田いずみの森</t>
  </si>
  <si>
    <t>〔平均〕</t>
  </si>
  <si>
    <t>諏訪</t>
  </si>
  <si>
    <t>山ノ神</t>
  </si>
  <si>
    <t>諏訪市</t>
    <rPh sb="0" eb="2">
      <t>スワ</t>
    </rPh>
    <rPh sb="2" eb="3">
      <t>シ</t>
    </rPh>
    <phoneticPr fontId="44"/>
  </si>
  <si>
    <t>諏訪市</t>
    <rPh sb="0" eb="2">
      <t>スワ</t>
    </rPh>
    <phoneticPr fontId="44"/>
  </si>
  <si>
    <t>霧ヶ峰ビバルデの丘</t>
    <rPh sb="8" eb="9">
      <t>オカ</t>
    </rPh>
    <phoneticPr fontId="44"/>
  </si>
  <si>
    <t>私営</t>
    <rPh sb="0" eb="2">
      <t>シエイ</t>
    </rPh>
    <phoneticPr fontId="44"/>
  </si>
  <si>
    <t>令和</t>
  </si>
  <si>
    <t>ピラタスの丘</t>
  </si>
  <si>
    <t>蓼科高原別荘地</t>
  </si>
  <si>
    <t>蓼科向城台別荘地</t>
  </si>
  <si>
    <t>白樺高原緑の村</t>
  </si>
  <si>
    <t>三井の森いずみ平</t>
  </si>
  <si>
    <t>車山高原</t>
  </si>
  <si>
    <t>美濃戸地区</t>
  </si>
  <si>
    <t>ヴィラ奥蓼科</t>
  </si>
  <si>
    <t>鏡湖</t>
  </si>
  <si>
    <t>鹿山</t>
  </si>
  <si>
    <t>原村</t>
  </si>
  <si>
    <t>丸山</t>
  </si>
  <si>
    <t>上伊那</t>
  </si>
  <si>
    <t>上新山</t>
  </si>
  <si>
    <t>下新山</t>
  </si>
  <si>
    <t>ますみヶ丘</t>
  </si>
  <si>
    <t>長谷</t>
  </si>
  <si>
    <t>高遠町第一</t>
  </si>
  <si>
    <t>高遠町第二</t>
  </si>
  <si>
    <t>高遠町黒沢</t>
  </si>
  <si>
    <t>高遠町御堂垣外</t>
  </si>
  <si>
    <t>高遠町片倉</t>
  </si>
  <si>
    <t>川上</t>
  </si>
  <si>
    <t>門前</t>
  </si>
  <si>
    <t>下横川</t>
  </si>
  <si>
    <t>渡戸</t>
  </si>
  <si>
    <t>上野</t>
  </si>
  <si>
    <t>鴻ノ田</t>
  </si>
  <si>
    <t>長岡</t>
  </si>
  <si>
    <t>上棚</t>
  </si>
  <si>
    <t>鹿垣</t>
  </si>
  <si>
    <t>日曽利</t>
  </si>
  <si>
    <t>神子柴</t>
  </si>
  <si>
    <t>大正</t>
    <rPh sb="0" eb="2">
      <t>タイショウ</t>
    </rPh>
    <phoneticPr fontId="44"/>
  </si>
  <si>
    <t>南信州</t>
    <rPh sb="0" eb="1">
      <t>ミナミ</t>
    </rPh>
    <rPh sb="1" eb="3">
      <t>シンシュウ</t>
    </rPh>
    <phoneticPr fontId="44"/>
  </si>
  <si>
    <t>遠山</t>
  </si>
  <si>
    <t>山吹</t>
  </si>
  <si>
    <t>阿南町</t>
    <rPh sb="0" eb="2">
      <t>アナン</t>
    </rPh>
    <rPh sb="2" eb="3">
      <t>チョウ</t>
    </rPh>
    <phoneticPr fontId="6"/>
  </si>
  <si>
    <t>根羽村</t>
    <rPh sb="0" eb="3">
      <t>ネバムラ</t>
    </rPh>
    <phoneticPr fontId="44"/>
  </si>
  <si>
    <t>天龍村</t>
    <rPh sb="0" eb="2">
      <t>テンリュウ</t>
    </rPh>
    <rPh sb="2" eb="3">
      <t>ムラ</t>
    </rPh>
    <phoneticPr fontId="44"/>
  </si>
  <si>
    <t>大鹿村</t>
    <rPh sb="0" eb="2">
      <t>オオシカ</t>
    </rPh>
    <rPh sb="2" eb="3">
      <t>ムラ</t>
    </rPh>
    <phoneticPr fontId="44"/>
  </si>
  <si>
    <t>木曽</t>
  </si>
  <si>
    <t>上松</t>
    <phoneticPr fontId="44"/>
  </si>
  <si>
    <t>南木曽町</t>
    <rPh sb="0" eb="4">
      <t>ナギソマチ</t>
    </rPh>
    <phoneticPr fontId="44"/>
  </si>
  <si>
    <t>宇山</t>
  </si>
  <si>
    <t>黒川</t>
  </si>
  <si>
    <t>熊沢</t>
  </si>
  <si>
    <t>北部</t>
  </si>
  <si>
    <t>中央部</t>
  </si>
  <si>
    <t>三岳</t>
  </si>
  <si>
    <t>日義</t>
  </si>
  <si>
    <t>末川</t>
  </si>
  <si>
    <t>開田高原</t>
  </si>
  <si>
    <t>冷川</t>
  </si>
  <si>
    <t>木曽駒高原</t>
  </si>
  <si>
    <t>木祖村</t>
    <rPh sb="0" eb="2">
      <t>キソ</t>
    </rPh>
    <rPh sb="2" eb="3">
      <t>ムラ</t>
    </rPh>
    <phoneticPr fontId="6"/>
  </si>
  <si>
    <t>滝越</t>
  </si>
  <si>
    <t>九蔵</t>
  </si>
  <si>
    <t>おんたけ高原</t>
  </si>
  <si>
    <t>赤松</t>
  </si>
  <si>
    <t>有明高原D4地区</t>
  </si>
  <si>
    <t>清水高原</t>
  </si>
  <si>
    <t>筑北村</t>
    <rPh sb="0" eb="1">
      <t>チク</t>
    </rPh>
    <rPh sb="1" eb="2">
      <t>ホク</t>
    </rPh>
    <rPh sb="2" eb="3">
      <t>ムラ</t>
    </rPh>
    <phoneticPr fontId="44"/>
  </si>
  <si>
    <t>北アルプス</t>
    <rPh sb="0" eb="1">
      <t>キタ</t>
    </rPh>
    <phoneticPr fontId="44"/>
  </si>
  <si>
    <t>大町市</t>
    <rPh sb="0" eb="3">
      <t>オオマチシ</t>
    </rPh>
    <phoneticPr fontId="44"/>
  </si>
  <si>
    <t>青木</t>
  </si>
  <si>
    <t>中綱</t>
  </si>
  <si>
    <t>一津</t>
  </si>
  <si>
    <t>広津</t>
  </si>
  <si>
    <t>平成</t>
  </si>
  <si>
    <t>小谷村</t>
    <rPh sb="0" eb="3">
      <t>オタリムラ</t>
    </rPh>
    <phoneticPr fontId="44"/>
  </si>
  <si>
    <t>清水山</t>
  </si>
  <si>
    <t>長野</t>
  </si>
  <si>
    <t>寺町北部</t>
  </si>
  <si>
    <t>中社</t>
  </si>
  <si>
    <t>峰の原</t>
  </si>
  <si>
    <t>千曲高原</t>
    <phoneticPr fontId="44"/>
  </si>
  <si>
    <t>網掛</t>
  </si>
  <si>
    <t>昭和</t>
  </si>
  <si>
    <t>野尻湖高原緑の村</t>
  </si>
  <si>
    <t>斑尾東急リゾート</t>
  </si>
  <si>
    <t>北信</t>
    <rPh sb="0" eb="2">
      <t>ホクシン</t>
    </rPh>
    <phoneticPr fontId="44"/>
  </si>
  <si>
    <t>斑尾</t>
  </si>
  <si>
    <t>熟平</t>
  </si>
  <si>
    <t>丸池</t>
  </si>
  <si>
    <t>高社</t>
  </si>
  <si>
    <t>馬曲</t>
  </si>
  <si>
    <t>上ノ平</t>
  </si>
  <si>
    <t>平林・虫生</t>
  </si>
  <si>
    <t>七ヶ巻</t>
  </si>
  <si>
    <t>東大滝</t>
  </si>
  <si>
    <t>栄村</t>
  </si>
  <si>
    <t>栄村</t>
    <rPh sb="0" eb="2">
      <t>サカエムラ</t>
    </rPh>
    <phoneticPr fontId="44"/>
  </si>
  <si>
    <t>２２．取水量及び浄水量（簡易水道）</t>
    <rPh sb="3" eb="5">
      <t>シュスイ</t>
    </rPh>
    <rPh sb="5" eb="6">
      <t>リョウ</t>
    </rPh>
    <rPh sb="6" eb="7">
      <t>オヨ</t>
    </rPh>
    <rPh sb="8" eb="10">
      <t>ジョウスイ</t>
    </rPh>
    <rPh sb="10" eb="11">
      <t>リョウ</t>
    </rPh>
    <rPh sb="12" eb="14">
      <t>カンイ</t>
    </rPh>
    <rPh sb="14" eb="16">
      <t>スイドウ</t>
    </rPh>
    <phoneticPr fontId="6"/>
  </si>
  <si>
    <t>原水受水</t>
    <rPh sb="2" eb="3">
      <t>ジュ</t>
    </rPh>
    <rPh sb="3" eb="4">
      <t>スイ</t>
    </rPh>
    <phoneticPr fontId="6"/>
  </si>
  <si>
    <t>浄水受水</t>
    <rPh sb="2" eb="3">
      <t>ジュ</t>
    </rPh>
    <rPh sb="3" eb="4">
      <t>スイ</t>
    </rPh>
    <phoneticPr fontId="6"/>
  </si>
  <si>
    <t>その他
（湧水等）</t>
    <rPh sb="5" eb="7">
      <t>ユウスイ</t>
    </rPh>
    <rPh sb="7" eb="8">
      <t>トウ</t>
    </rPh>
    <phoneticPr fontId="6"/>
  </si>
  <si>
    <t>緩速ろ過</t>
    <rPh sb="3" eb="4">
      <t>カ</t>
    </rPh>
    <phoneticPr fontId="6"/>
  </si>
  <si>
    <t>急速ろ過</t>
    <rPh sb="3" eb="4">
      <t>カ</t>
    </rPh>
    <phoneticPr fontId="6"/>
  </si>
  <si>
    <t>紫外線</t>
    <rPh sb="0" eb="3">
      <t>シガイセン</t>
    </rPh>
    <phoneticPr fontId="6"/>
  </si>
  <si>
    <t>うち高度浄水処理等</t>
    <rPh sb="2" eb="4">
      <t>コウド</t>
    </rPh>
    <rPh sb="4" eb="6">
      <t>ジョウスイ</t>
    </rPh>
    <rPh sb="6" eb="9">
      <t>ショリトウ</t>
    </rPh>
    <phoneticPr fontId="6"/>
  </si>
  <si>
    <t>湖沼水</t>
    <rPh sb="0" eb="2">
      <t>コショウ</t>
    </rPh>
    <phoneticPr fontId="6"/>
  </si>
  <si>
    <t>河川水
（自流）</t>
    <rPh sb="0" eb="3">
      <t>カセンスイ</t>
    </rPh>
    <phoneticPr fontId="6"/>
  </si>
  <si>
    <t>浅井戸水</t>
    <rPh sb="3" eb="4">
      <t>スイ</t>
    </rPh>
    <phoneticPr fontId="6"/>
  </si>
  <si>
    <t>浅井戸数</t>
    <rPh sb="3" eb="4">
      <t>スウ</t>
    </rPh>
    <phoneticPr fontId="6"/>
  </si>
  <si>
    <t>深井戸水</t>
    <rPh sb="3" eb="4">
      <t>スイ</t>
    </rPh>
    <phoneticPr fontId="6"/>
  </si>
  <si>
    <t>深井戸数</t>
    <rPh sb="3" eb="4">
      <t>スウ</t>
    </rPh>
    <phoneticPr fontId="6"/>
  </si>
  <si>
    <t>量</t>
    <rPh sb="0" eb="1">
      <t>リョウ</t>
    </rPh>
    <phoneticPr fontId="6"/>
  </si>
  <si>
    <t>割合（%）</t>
  </si>
  <si>
    <t>川上村</t>
    <rPh sb="0" eb="2">
      <t>カワカミ</t>
    </rPh>
    <rPh sb="2" eb="3">
      <t>ムラ</t>
    </rPh>
    <phoneticPr fontId="26"/>
  </si>
  <si>
    <t>姥・中尾</t>
  </si>
  <si>
    <t>阿南町</t>
    <rPh sb="0" eb="2">
      <t>アナン</t>
    </rPh>
    <rPh sb="2" eb="3">
      <t>チョウ</t>
    </rPh>
    <phoneticPr fontId="26"/>
  </si>
  <si>
    <t>上松</t>
  </si>
  <si>
    <t>木祖村</t>
    <rPh sb="0" eb="2">
      <t>キソ</t>
    </rPh>
    <rPh sb="2" eb="3">
      <t>ムラ</t>
    </rPh>
    <phoneticPr fontId="26"/>
  </si>
  <si>
    <t>千曲高原</t>
  </si>
  <si>
    <t>北信</t>
  </si>
  <si>
    <t>２３．配水池容量及び管延長等（簡易水道）</t>
    <rPh sb="3" eb="5">
      <t>ハイスイ</t>
    </rPh>
    <rPh sb="5" eb="6">
      <t>イケ</t>
    </rPh>
    <rPh sb="6" eb="8">
      <t>ヨウリョウ</t>
    </rPh>
    <rPh sb="8" eb="9">
      <t>オヨ</t>
    </rPh>
    <rPh sb="10" eb="11">
      <t>カン</t>
    </rPh>
    <rPh sb="11" eb="13">
      <t>エンチョウ</t>
    </rPh>
    <rPh sb="13" eb="14">
      <t>トウ</t>
    </rPh>
    <rPh sb="15" eb="17">
      <t>カンイ</t>
    </rPh>
    <rPh sb="17" eb="19">
      <t>スイドウ</t>
    </rPh>
    <phoneticPr fontId="6"/>
  </si>
  <si>
    <t>導水管
延長
（m）</t>
    <rPh sb="4" eb="6">
      <t>エンチョウ</t>
    </rPh>
    <phoneticPr fontId="6"/>
  </si>
  <si>
    <t>送水管
延長
（m）</t>
    <rPh sb="4" eb="6">
      <t>エンチョウ</t>
    </rPh>
    <phoneticPr fontId="6"/>
  </si>
  <si>
    <t>配水管
延長
（m）</t>
    <rPh sb="4" eb="6">
      <t>エンチョウ</t>
    </rPh>
    <phoneticPr fontId="6"/>
  </si>
  <si>
    <t>総延長
（m）</t>
    <phoneticPr fontId="6"/>
  </si>
  <si>
    <t>管種別延長</t>
    <phoneticPr fontId="6"/>
  </si>
  <si>
    <t>うち
耐震管延長</t>
    <rPh sb="3" eb="5">
      <t>タイシン</t>
    </rPh>
    <rPh sb="5" eb="6">
      <t>カン</t>
    </rPh>
    <rPh sb="6" eb="8">
      <t>エンチョウ</t>
    </rPh>
    <phoneticPr fontId="6"/>
  </si>
  <si>
    <t>鋳鉄管</t>
    <rPh sb="0" eb="2">
      <t>チュウテツ</t>
    </rPh>
    <rPh sb="2" eb="3">
      <t>カン</t>
    </rPh>
    <phoneticPr fontId="6"/>
  </si>
  <si>
    <t>石綿セメント管</t>
    <rPh sb="0" eb="2">
      <t>セキメン</t>
    </rPh>
    <rPh sb="6" eb="7">
      <t>カン</t>
    </rPh>
    <phoneticPr fontId="6"/>
  </si>
  <si>
    <t>コンクリート管</t>
    <rPh sb="6" eb="7">
      <t>カン</t>
    </rPh>
    <phoneticPr fontId="6"/>
  </si>
  <si>
    <t>鉛管</t>
    <rPh sb="0" eb="1">
      <t>ナマリ</t>
    </rPh>
    <rPh sb="1" eb="2">
      <t>カン</t>
    </rPh>
    <phoneticPr fontId="6"/>
  </si>
  <si>
    <t>数</t>
  </si>
  <si>
    <r>
      <t>有効容量（m</t>
    </r>
    <r>
      <rPr>
        <vertAlign val="superscript"/>
        <sz val="9"/>
        <rFont val="ＭＳ Ｐゴシック"/>
        <family val="3"/>
        <charset val="128"/>
      </rPr>
      <t>3</t>
    </r>
    <r>
      <rPr>
        <sz val="9"/>
        <rFont val="ＭＳ Ｐゴシック"/>
        <family val="3"/>
        <charset val="128"/>
      </rPr>
      <t>）</t>
    </r>
    <rPh sb="0" eb="2">
      <t>ユウコウ</t>
    </rPh>
    <phoneticPr fontId="6"/>
  </si>
  <si>
    <t>延長
（m）</t>
    <rPh sb="0" eb="2">
      <t>エンチョウ</t>
    </rPh>
    <phoneticPr fontId="6"/>
  </si>
  <si>
    <t>川上村</t>
    <rPh sb="0" eb="2">
      <t>カワカミ</t>
    </rPh>
    <rPh sb="2" eb="3">
      <t>ムラ</t>
    </rPh>
    <phoneticPr fontId="32"/>
  </si>
  <si>
    <t>阿南町</t>
    <rPh sb="0" eb="2">
      <t>アナン</t>
    </rPh>
    <rPh sb="2" eb="3">
      <t>チョウ</t>
    </rPh>
    <phoneticPr fontId="32"/>
  </si>
  <si>
    <t>木祖村</t>
    <rPh sb="0" eb="2">
      <t>キソ</t>
    </rPh>
    <rPh sb="2" eb="3">
      <t>ムラ</t>
    </rPh>
    <phoneticPr fontId="32"/>
  </si>
  <si>
    <t>２４．給水人口、施設能力、原水種別等（専用水道）</t>
    <rPh sb="3" eb="5">
      <t>キュウスイ</t>
    </rPh>
    <rPh sb="5" eb="7">
      <t>ジンコウ</t>
    </rPh>
    <rPh sb="8" eb="10">
      <t>シセツ</t>
    </rPh>
    <rPh sb="10" eb="12">
      <t>ノウリョク</t>
    </rPh>
    <rPh sb="13" eb="15">
      <t>ゲンスイ</t>
    </rPh>
    <rPh sb="15" eb="17">
      <t>シュベツ</t>
    </rPh>
    <rPh sb="17" eb="18">
      <t>トウ</t>
    </rPh>
    <rPh sb="19" eb="21">
      <t>センヨウ</t>
    </rPh>
    <rPh sb="21" eb="23">
      <t>スイドウ</t>
    </rPh>
    <phoneticPr fontId="6"/>
  </si>
  <si>
    <t>市町村</t>
    <rPh sb="0" eb="3">
      <t>シチョウソン</t>
    </rPh>
    <phoneticPr fontId="6"/>
  </si>
  <si>
    <t>施　設　名　等</t>
    <rPh sb="0" eb="1">
      <t>シ</t>
    </rPh>
    <rPh sb="2" eb="3">
      <t>セツ</t>
    </rPh>
    <rPh sb="4" eb="5">
      <t>メイ</t>
    </rPh>
    <rPh sb="6" eb="7">
      <t>トウ</t>
    </rPh>
    <phoneticPr fontId="6"/>
  </si>
  <si>
    <t>国施設</t>
    <rPh sb="0" eb="1">
      <t>クニ</t>
    </rPh>
    <rPh sb="1" eb="3">
      <t>シセツ</t>
    </rPh>
    <phoneticPr fontId="6"/>
  </si>
  <si>
    <t>確　 認
年月日</t>
    <rPh sb="0" eb="1">
      <t>アキラ</t>
    </rPh>
    <rPh sb="3" eb="4">
      <t>シノブ</t>
    </rPh>
    <rPh sb="5" eb="6">
      <t>ネン</t>
    </rPh>
    <rPh sb="6" eb="8">
      <t>ガッピ</t>
    </rPh>
    <phoneticPr fontId="6"/>
  </si>
  <si>
    <r>
      <t>施設能力(ｍ</t>
    </r>
    <r>
      <rPr>
        <vertAlign val="superscript"/>
        <sz val="9"/>
        <rFont val="ＭＳ Ｐゴシック"/>
        <family val="3"/>
        <charset val="128"/>
      </rPr>
      <t>3</t>
    </r>
    <r>
      <rPr>
        <sz val="9"/>
        <rFont val="ＭＳ Ｐゴシック"/>
        <family val="3"/>
        <charset val="128"/>
      </rPr>
      <t>/日)</t>
    </r>
    <rPh sb="0" eb="2">
      <t>シセツ</t>
    </rPh>
    <rPh sb="2" eb="4">
      <t>ノウリョク</t>
    </rPh>
    <rPh sb="8" eb="9">
      <t>ニチ</t>
    </rPh>
    <phoneticPr fontId="6"/>
  </si>
  <si>
    <t>専従職員数(人)</t>
    <rPh sb="0" eb="2">
      <t>センジュウ</t>
    </rPh>
    <rPh sb="2" eb="4">
      <t>ショクイン</t>
    </rPh>
    <rPh sb="4" eb="5">
      <t>カズ</t>
    </rPh>
    <rPh sb="6" eb="7">
      <t>ニン</t>
    </rPh>
    <phoneticPr fontId="6"/>
  </si>
  <si>
    <t>原水の種別</t>
    <rPh sb="0" eb="2">
      <t>ゲンスイ</t>
    </rPh>
    <rPh sb="3" eb="5">
      <t>シュベツ</t>
    </rPh>
    <phoneticPr fontId="6"/>
  </si>
  <si>
    <t>浄水施設の種別</t>
    <phoneticPr fontId="6"/>
  </si>
  <si>
    <t>確認時</t>
    <rPh sb="0" eb="2">
      <t>カクニン</t>
    </rPh>
    <rPh sb="2" eb="3">
      <t>ジ</t>
    </rPh>
    <phoneticPr fontId="6"/>
  </si>
  <si>
    <t>現　在</t>
    <rPh sb="0" eb="1">
      <t>ウツツ</t>
    </rPh>
    <rPh sb="2" eb="3">
      <t>ザイ</t>
    </rPh>
    <phoneticPr fontId="6"/>
  </si>
  <si>
    <t>種　別</t>
    <rPh sb="0" eb="1">
      <t>タネ</t>
    </rPh>
    <rPh sb="2" eb="3">
      <t>ベツ</t>
    </rPh>
    <phoneticPr fontId="6"/>
  </si>
  <si>
    <t>自己水源又は受水の別</t>
    <rPh sb="0" eb="2">
      <t>ジコ</t>
    </rPh>
    <rPh sb="2" eb="4">
      <t>スイゲン</t>
    </rPh>
    <rPh sb="4" eb="5">
      <t>マタ</t>
    </rPh>
    <rPh sb="6" eb="7">
      <t>ウ</t>
    </rPh>
    <rPh sb="7" eb="8">
      <t>ミズ</t>
    </rPh>
    <rPh sb="9" eb="10">
      <t>ベツ</t>
    </rPh>
    <phoneticPr fontId="6"/>
  </si>
  <si>
    <t>佐久市</t>
    <rPh sb="0" eb="3">
      <t>サクシ</t>
    </rPh>
    <phoneticPr fontId="6"/>
  </si>
  <si>
    <t>自己水源</t>
    <rPh sb="0" eb="2">
      <t>ジコ</t>
    </rPh>
    <rPh sb="2" eb="4">
      <t>スイゲン</t>
    </rPh>
    <phoneticPr fontId="6"/>
  </si>
  <si>
    <t>消毒のみ</t>
    <rPh sb="0" eb="2">
      <t>ショウドク</t>
    </rPh>
    <phoneticPr fontId="6"/>
  </si>
  <si>
    <t>佐久穂町</t>
    <rPh sb="0" eb="4">
      <t>サクホマチ</t>
    </rPh>
    <phoneticPr fontId="6"/>
  </si>
  <si>
    <t>軽井沢町</t>
    <rPh sb="0" eb="3">
      <t>カルイザワ</t>
    </rPh>
    <rPh sb="3" eb="4">
      <t>マチ</t>
    </rPh>
    <phoneticPr fontId="6"/>
  </si>
  <si>
    <t>急速ろ過</t>
    <rPh sb="0" eb="2">
      <t>キュウソク</t>
    </rPh>
    <rPh sb="3" eb="4">
      <t>カ</t>
    </rPh>
    <phoneticPr fontId="6"/>
  </si>
  <si>
    <t>自己水源、受水の併用</t>
    <rPh sb="0" eb="2">
      <t>ジコ</t>
    </rPh>
    <rPh sb="2" eb="4">
      <t>スイゲン</t>
    </rPh>
    <rPh sb="5" eb="6">
      <t>ウ</t>
    </rPh>
    <rPh sb="6" eb="7">
      <t>ミズ</t>
    </rPh>
    <rPh sb="8" eb="10">
      <t>ヘイヨウ</t>
    </rPh>
    <phoneticPr fontId="6"/>
  </si>
  <si>
    <t>受水のみ</t>
    <rPh sb="0" eb="2">
      <t>ジュスイ</t>
    </rPh>
    <phoneticPr fontId="6"/>
  </si>
  <si>
    <t>急速ろ過
除鉄
除マンガン</t>
    <rPh sb="0" eb="2">
      <t>キュウソク</t>
    </rPh>
    <rPh sb="3" eb="4">
      <t>カ</t>
    </rPh>
    <rPh sb="5" eb="6">
      <t>ジョ</t>
    </rPh>
    <rPh sb="6" eb="7">
      <t>テツ</t>
    </rPh>
    <rPh sb="8" eb="9">
      <t>ジョ</t>
    </rPh>
    <phoneticPr fontId="6"/>
  </si>
  <si>
    <t>○</t>
    <phoneticPr fontId="6"/>
  </si>
  <si>
    <t>オナーズヒルニュー軽井沢団地管理組合法人</t>
  </si>
  <si>
    <t>㈱リボワール　八風湖ホテル</t>
    <phoneticPr fontId="6"/>
  </si>
  <si>
    <t>急速ろ過
膜ろ過</t>
    <rPh sb="0" eb="2">
      <t>キュウソク</t>
    </rPh>
    <rPh sb="3" eb="4">
      <t>カ</t>
    </rPh>
    <rPh sb="5" eb="6">
      <t>マク</t>
    </rPh>
    <rPh sb="7" eb="8">
      <t>カ</t>
    </rPh>
    <phoneticPr fontId="6"/>
  </si>
  <si>
    <t>(㈱)フジランド</t>
  </si>
  <si>
    <t>ホテルルートイン</t>
  </si>
  <si>
    <t>大鹿村</t>
    <rPh sb="0" eb="3">
      <t>オオシカムラ</t>
    </rPh>
    <phoneticPr fontId="6"/>
  </si>
  <si>
    <t>鹿島・飛島・フジタ特別共同企業体中央新幹線南アルプストンネル新設（長野工区）工事事務所</t>
    <phoneticPr fontId="6"/>
  </si>
  <si>
    <t>深井戸</t>
  </si>
  <si>
    <t>松本市</t>
    <rPh sb="0" eb="3">
      <t>マツモトシ</t>
    </rPh>
    <phoneticPr fontId="6"/>
  </si>
  <si>
    <t>除鉄
膜ろ過</t>
    <rPh sb="0" eb="1">
      <t>ジョ</t>
    </rPh>
    <rPh sb="1" eb="2">
      <t>テツ</t>
    </rPh>
    <rPh sb="3" eb="4">
      <t>マク</t>
    </rPh>
    <rPh sb="5" eb="6">
      <t>カ</t>
    </rPh>
    <phoneticPr fontId="6"/>
  </si>
  <si>
    <t>独立行政法人　国立病院機構　まつもと医療センター</t>
  </si>
  <si>
    <t>松本協立病院</t>
    <phoneticPr fontId="6"/>
  </si>
  <si>
    <t>社会福祉法人ハーモニー</t>
    <phoneticPr fontId="6"/>
  </si>
  <si>
    <t>東洋観光事業株式会社　翔峰</t>
    <phoneticPr fontId="6"/>
  </si>
  <si>
    <t>〇</t>
    <phoneticPr fontId="6"/>
  </si>
  <si>
    <t>深井戸</t>
    <rPh sb="0" eb="1">
      <t>フカ</t>
    </rPh>
    <rPh sb="1" eb="3">
      <t>イド</t>
    </rPh>
    <phoneticPr fontId="8"/>
  </si>
  <si>
    <t>国営アルプスあづみの公園大町・松川地区</t>
    <rPh sb="12" eb="14">
      <t>オオマチ</t>
    </rPh>
    <rPh sb="15" eb="17">
      <t>マツカワ</t>
    </rPh>
    <rPh sb="17" eb="19">
      <t>チク</t>
    </rPh>
    <phoneticPr fontId="15"/>
  </si>
  <si>
    <t>小谷村</t>
    <rPh sb="0" eb="3">
      <t>オタリムラ</t>
    </rPh>
    <phoneticPr fontId="6"/>
  </si>
  <si>
    <t>小谷村教育委員会（小谷中学校）</t>
  </si>
  <si>
    <t>長野日本無線㈱</t>
    <rPh sb="0" eb="2">
      <t>ナガノ</t>
    </rPh>
    <rPh sb="2" eb="4">
      <t>ニホン</t>
    </rPh>
    <rPh sb="4" eb="6">
      <t>ムセン</t>
    </rPh>
    <phoneticPr fontId="15"/>
  </si>
  <si>
    <t>公立学校共済組合長野宿泊所</t>
    <rPh sb="0" eb="2">
      <t>コウリツ</t>
    </rPh>
    <rPh sb="2" eb="4">
      <t>ガッコウ</t>
    </rPh>
    <rPh sb="4" eb="6">
      <t>キョウサイ</t>
    </rPh>
    <rPh sb="6" eb="8">
      <t>クミアイ</t>
    </rPh>
    <rPh sb="8" eb="10">
      <t>ナガノ</t>
    </rPh>
    <rPh sb="10" eb="12">
      <t>シュクハク</t>
    </rPh>
    <rPh sb="12" eb="13">
      <t>ジョ</t>
    </rPh>
    <phoneticPr fontId="15"/>
  </si>
  <si>
    <t>㈱みすずコーポレーション本社工場内食堂</t>
    <rPh sb="12" eb="14">
      <t>ホンシャ</t>
    </rPh>
    <rPh sb="14" eb="17">
      <t>コウジョウナイ</t>
    </rPh>
    <rPh sb="17" eb="19">
      <t>ショクドウ</t>
    </rPh>
    <phoneticPr fontId="15"/>
  </si>
  <si>
    <t>ウィ―ゴカントリークラブ同、レストラン</t>
    <rPh sb="12" eb="13">
      <t>ドウ</t>
    </rPh>
    <phoneticPr fontId="15"/>
  </si>
  <si>
    <t>特別養護老人ホーム真島の里</t>
    <rPh sb="0" eb="2">
      <t>トクベツ</t>
    </rPh>
    <rPh sb="2" eb="4">
      <t>ヨウゴ</t>
    </rPh>
    <rPh sb="4" eb="6">
      <t>ロウジン</t>
    </rPh>
    <rPh sb="9" eb="11">
      <t>マシマ</t>
    </rPh>
    <rPh sb="12" eb="13">
      <t>サト</t>
    </rPh>
    <phoneticPr fontId="15"/>
  </si>
  <si>
    <t>長野赤十字病院</t>
    <rPh sb="0" eb="2">
      <t>ナガノ</t>
    </rPh>
    <rPh sb="2" eb="5">
      <t>セキジュウジ</t>
    </rPh>
    <rPh sb="5" eb="7">
      <t>ビョウイン</t>
    </rPh>
    <phoneticPr fontId="15"/>
  </si>
  <si>
    <t>鶴賀病院</t>
    <rPh sb="0" eb="1">
      <t>ツル</t>
    </rPh>
    <rPh sb="1" eb="2">
      <t>ガ</t>
    </rPh>
    <rPh sb="2" eb="4">
      <t>ビョウイン</t>
    </rPh>
    <phoneticPr fontId="15"/>
  </si>
  <si>
    <t>栗田病院</t>
    <rPh sb="0" eb="2">
      <t>クリタ</t>
    </rPh>
    <rPh sb="2" eb="4">
      <t>ビョウイン</t>
    </rPh>
    <phoneticPr fontId="15"/>
  </si>
  <si>
    <t>Royal Hotel 長野</t>
    <rPh sb="12" eb="14">
      <t>ナガノ</t>
    </rPh>
    <phoneticPr fontId="15"/>
  </si>
  <si>
    <t>㈱ながの東急百貨店</t>
    <rPh sb="4" eb="6">
      <t>トウキュウ</t>
    </rPh>
    <rPh sb="6" eb="9">
      <t>ヒャッカテン</t>
    </rPh>
    <phoneticPr fontId="15"/>
  </si>
  <si>
    <t>東長野病院</t>
    <rPh sb="0" eb="1">
      <t>ヒガシ</t>
    </rPh>
    <rPh sb="1" eb="3">
      <t>ナガノ</t>
    </rPh>
    <rPh sb="3" eb="5">
      <t>ビョウイン</t>
    </rPh>
    <phoneticPr fontId="15"/>
  </si>
  <si>
    <t>厚生連篠ノ井総合病院</t>
    <rPh sb="0" eb="2">
      <t>コウセイ</t>
    </rPh>
    <rPh sb="2" eb="3">
      <t>レン</t>
    </rPh>
    <rPh sb="3" eb="6">
      <t>シノノイ</t>
    </rPh>
    <rPh sb="6" eb="8">
      <t>ソウゴウ</t>
    </rPh>
    <rPh sb="8" eb="10">
      <t>ビョウイン</t>
    </rPh>
    <phoneticPr fontId="15"/>
  </si>
  <si>
    <t>ホテル国際２１</t>
    <rPh sb="3" eb="5">
      <t>コクサイ</t>
    </rPh>
    <phoneticPr fontId="15"/>
  </si>
  <si>
    <t>ＪＲ東日本長野支社</t>
    <rPh sb="2" eb="5">
      <t>ヒガシニホン</t>
    </rPh>
    <rPh sb="5" eb="7">
      <t>ナガノ</t>
    </rPh>
    <rPh sb="7" eb="9">
      <t>シシャ</t>
    </rPh>
    <phoneticPr fontId="15"/>
  </si>
  <si>
    <t>長野中央病院</t>
    <rPh sb="0" eb="2">
      <t>ナガノ</t>
    </rPh>
    <rPh sb="2" eb="4">
      <t>チュウオウ</t>
    </rPh>
    <rPh sb="4" eb="6">
      <t>ビョウイン</t>
    </rPh>
    <phoneticPr fontId="15"/>
  </si>
  <si>
    <t>ホテルＪＡＬシティ長野</t>
    <rPh sb="9" eb="11">
      <t>ナガノ</t>
    </rPh>
    <phoneticPr fontId="15"/>
  </si>
  <si>
    <t>長野刑務所</t>
  </si>
  <si>
    <t>２５．国庫補助事業及び交付金事業の事業内容及び事業費等</t>
    <rPh sb="3" eb="5">
      <t>コッコ</t>
    </rPh>
    <rPh sb="5" eb="7">
      <t>ホジョ</t>
    </rPh>
    <rPh sb="7" eb="9">
      <t>ジギョウ</t>
    </rPh>
    <rPh sb="9" eb="10">
      <t>オヨ</t>
    </rPh>
    <rPh sb="11" eb="13">
      <t>コウフ</t>
    </rPh>
    <rPh sb="13" eb="14">
      <t>キン</t>
    </rPh>
    <rPh sb="14" eb="16">
      <t>ジギョウ</t>
    </rPh>
    <rPh sb="17" eb="19">
      <t>ジギョウ</t>
    </rPh>
    <rPh sb="19" eb="21">
      <t>ナイヨウ</t>
    </rPh>
    <rPh sb="21" eb="22">
      <t>オヨ</t>
    </rPh>
    <rPh sb="23" eb="27">
      <t>ジギョウヒトウ</t>
    </rPh>
    <phoneticPr fontId="6"/>
  </si>
  <si>
    <t>（１）上水道事業及び水道用水供給事業に係る国庫補助事業（水道水源開発等施設整備費国庫補助）</t>
    <rPh sb="3" eb="6">
      <t>ジョウスイドウ</t>
    </rPh>
    <rPh sb="6" eb="8">
      <t>ジギョウ</t>
    </rPh>
    <rPh sb="8" eb="9">
      <t>オヨ</t>
    </rPh>
    <rPh sb="10" eb="12">
      <t>スイドウ</t>
    </rPh>
    <rPh sb="12" eb="14">
      <t>ヨウスイ</t>
    </rPh>
    <rPh sb="14" eb="16">
      <t>キョウキュウ</t>
    </rPh>
    <rPh sb="16" eb="18">
      <t>ジギョウ</t>
    </rPh>
    <rPh sb="19" eb="20">
      <t>カカ</t>
    </rPh>
    <rPh sb="21" eb="23">
      <t>コッコ</t>
    </rPh>
    <rPh sb="23" eb="25">
      <t>ホジョ</t>
    </rPh>
    <rPh sb="25" eb="26">
      <t>コト</t>
    </rPh>
    <rPh sb="26" eb="27">
      <t>ギョウ</t>
    </rPh>
    <rPh sb="28" eb="32">
      <t>スイドウスイゲン</t>
    </rPh>
    <rPh sb="32" eb="34">
      <t>カイハツ</t>
    </rPh>
    <rPh sb="34" eb="35">
      <t>トウ</t>
    </rPh>
    <rPh sb="35" eb="37">
      <t>シセツ</t>
    </rPh>
    <rPh sb="37" eb="39">
      <t>セイビ</t>
    </rPh>
    <rPh sb="39" eb="40">
      <t>ヒ</t>
    </rPh>
    <rPh sb="40" eb="42">
      <t>コッコ</t>
    </rPh>
    <rPh sb="42" eb="44">
      <t>ホジョ</t>
    </rPh>
    <phoneticPr fontId="6"/>
  </si>
  <si>
    <t>（２）簡易水道事業及び飲料水供給施設に係る国庫補助事業（簡易水道等施設整備費国庫補助）</t>
    <rPh sb="3" eb="5">
      <t>カンイ</t>
    </rPh>
    <rPh sb="5" eb="7">
      <t>スイドウ</t>
    </rPh>
    <rPh sb="7" eb="9">
      <t>ジギョウ</t>
    </rPh>
    <rPh sb="9" eb="10">
      <t>オヨ</t>
    </rPh>
    <rPh sb="11" eb="14">
      <t>インリョウスイ</t>
    </rPh>
    <rPh sb="14" eb="16">
      <t>キョウキュウ</t>
    </rPh>
    <rPh sb="16" eb="18">
      <t>シセツ</t>
    </rPh>
    <rPh sb="19" eb="20">
      <t>カカ</t>
    </rPh>
    <rPh sb="21" eb="23">
      <t>コッコ</t>
    </rPh>
    <rPh sb="23" eb="25">
      <t>ホジョ</t>
    </rPh>
    <rPh sb="25" eb="26">
      <t>コト</t>
    </rPh>
    <rPh sb="26" eb="27">
      <t>ギョウ</t>
    </rPh>
    <rPh sb="28" eb="30">
      <t>カンイ</t>
    </rPh>
    <rPh sb="30" eb="32">
      <t>スイドウ</t>
    </rPh>
    <rPh sb="32" eb="33">
      <t>ナド</t>
    </rPh>
    <rPh sb="33" eb="35">
      <t>シセツ</t>
    </rPh>
    <rPh sb="35" eb="37">
      <t>セイビ</t>
    </rPh>
    <rPh sb="37" eb="38">
      <t>ヒ</t>
    </rPh>
    <rPh sb="38" eb="40">
      <t>コッコ</t>
    </rPh>
    <rPh sb="40" eb="42">
      <t>ホジョ</t>
    </rPh>
    <phoneticPr fontId="6"/>
  </si>
  <si>
    <t>（３）上水道事業及び水道用水供給事業並びに簡易水道事業及び飲料水供給施設に係る交付金事業（生活基盤施設耐震化等交付金）</t>
    <rPh sb="3" eb="5">
      <t>ジョウスイ</t>
    </rPh>
    <rPh sb="5" eb="6">
      <t>ミチ</t>
    </rPh>
    <rPh sb="6" eb="8">
      <t>ジギョウ</t>
    </rPh>
    <rPh sb="8" eb="9">
      <t>オヨ</t>
    </rPh>
    <rPh sb="10" eb="12">
      <t>スイドウ</t>
    </rPh>
    <rPh sb="12" eb="14">
      <t>ヨウスイ</t>
    </rPh>
    <rPh sb="14" eb="16">
      <t>キョウキュウ</t>
    </rPh>
    <rPh sb="16" eb="18">
      <t>ジギョウ</t>
    </rPh>
    <rPh sb="18" eb="19">
      <t>ナラ</t>
    </rPh>
    <rPh sb="21" eb="23">
      <t>カンイ</t>
    </rPh>
    <rPh sb="23" eb="25">
      <t>スイドウ</t>
    </rPh>
    <rPh sb="25" eb="27">
      <t>ジギョウ</t>
    </rPh>
    <rPh sb="27" eb="28">
      <t>オヨ</t>
    </rPh>
    <rPh sb="29" eb="32">
      <t>インリョウスイ</t>
    </rPh>
    <rPh sb="32" eb="34">
      <t>キョウキュウ</t>
    </rPh>
    <rPh sb="34" eb="36">
      <t>シセツ</t>
    </rPh>
    <rPh sb="37" eb="38">
      <t>カカ</t>
    </rPh>
    <rPh sb="39" eb="42">
      <t>コウフキン</t>
    </rPh>
    <rPh sb="42" eb="44">
      <t>ジギョウ</t>
    </rPh>
    <rPh sb="45" eb="47">
      <t>セイカツ</t>
    </rPh>
    <rPh sb="47" eb="49">
      <t>キバン</t>
    </rPh>
    <rPh sb="49" eb="51">
      <t>シセツ</t>
    </rPh>
    <rPh sb="51" eb="54">
      <t>タイシンカ</t>
    </rPh>
    <rPh sb="54" eb="55">
      <t>トウ</t>
    </rPh>
    <rPh sb="55" eb="57">
      <t>コウフ</t>
    </rPh>
    <rPh sb="57" eb="58">
      <t>キン</t>
    </rPh>
    <phoneticPr fontId="6"/>
  </si>
  <si>
    <t>地域
振興局</t>
    <rPh sb="0" eb="2">
      <t>チイキ</t>
    </rPh>
    <rPh sb="3" eb="5">
      <t>シンコウ</t>
    </rPh>
    <rPh sb="5" eb="6">
      <t>キョク</t>
    </rPh>
    <phoneticPr fontId="6"/>
  </si>
  <si>
    <t>補助事業者名</t>
    <rPh sb="0" eb="2">
      <t>ホジョ</t>
    </rPh>
    <rPh sb="2" eb="5">
      <t>ジギョウシャ</t>
    </rPh>
    <rPh sb="5" eb="6">
      <t>メイ</t>
    </rPh>
    <phoneticPr fontId="6"/>
  </si>
  <si>
    <t>地区名</t>
    <rPh sb="0" eb="3">
      <t>チクメイ</t>
    </rPh>
    <phoneticPr fontId="6"/>
  </si>
  <si>
    <t>事業内容</t>
    <rPh sb="0" eb="2">
      <t>ジギョウ</t>
    </rPh>
    <rPh sb="2" eb="4">
      <t>ナイヨウ</t>
    </rPh>
    <phoneticPr fontId="6"/>
  </si>
  <si>
    <t>工　期</t>
    <rPh sb="0" eb="3">
      <t>コウキ</t>
    </rPh>
    <phoneticPr fontId="6"/>
  </si>
  <si>
    <t>補助率</t>
    <rPh sb="0" eb="3">
      <t>ホジョリツ</t>
    </rPh>
    <phoneticPr fontId="6"/>
  </si>
  <si>
    <t>始期</t>
    <rPh sb="0" eb="2">
      <t>シキ</t>
    </rPh>
    <phoneticPr fontId="6"/>
  </si>
  <si>
    <t>終期</t>
    <rPh sb="0" eb="2">
      <t>シュウキ</t>
    </rPh>
    <phoneticPr fontId="6"/>
  </si>
  <si>
    <t>事業費
(千円)</t>
    <rPh sb="0" eb="3">
      <t>ジギョウヒ</t>
    </rPh>
    <rPh sb="5" eb="7">
      <t>センエン</t>
    </rPh>
    <phoneticPr fontId="5"/>
  </si>
  <si>
    <t>事業費
(千円)</t>
    <rPh sb="0" eb="3">
      <t>ジギョウヒ</t>
    </rPh>
    <rPh sb="5" eb="7">
      <t>センエン</t>
    </rPh>
    <phoneticPr fontId="6"/>
  </si>
  <si>
    <t>補助基本額
(千円)</t>
    <rPh sb="0" eb="2">
      <t>ホジョ</t>
    </rPh>
    <rPh sb="2" eb="4">
      <t>キホン</t>
    </rPh>
    <rPh sb="4" eb="5">
      <t>ガク</t>
    </rPh>
    <rPh sb="7" eb="9">
      <t>センエン</t>
    </rPh>
    <phoneticPr fontId="6"/>
  </si>
  <si>
    <t>補 助 額
(千円)</t>
    <rPh sb="0" eb="5">
      <t>ホジョガク</t>
    </rPh>
    <rPh sb="7" eb="9">
      <t>センエン</t>
    </rPh>
    <phoneticPr fontId="6"/>
  </si>
  <si>
    <t>内翌年度への繰越額
(千円)</t>
    <rPh sb="0" eb="1">
      <t>ウチ</t>
    </rPh>
    <rPh sb="1" eb="4">
      <t>ヨクネンド</t>
    </rPh>
    <rPh sb="6" eb="8">
      <t>クリコシ</t>
    </rPh>
    <rPh sb="8" eb="9">
      <t>ガク</t>
    </rPh>
    <rPh sb="11" eb="13">
      <t>センエン</t>
    </rPh>
    <phoneticPr fontId="6"/>
  </si>
  <si>
    <t>天龍村</t>
    <rPh sb="0" eb="3">
      <t>テンリュウムラ</t>
    </rPh>
    <phoneticPr fontId="6"/>
  </si>
  <si>
    <t>鶯巣他</t>
    <rPh sb="0" eb="2">
      <t>ウグス</t>
    </rPh>
    <rPh sb="2" eb="3">
      <t>ホカ</t>
    </rPh>
    <phoneticPr fontId="6"/>
  </si>
  <si>
    <t>簡易水道再編推進事業
（統合簡易水道）</t>
    <rPh sb="0" eb="2">
      <t>カンイ</t>
    </rPh>
    <rPh sb="2" eb="4">
      <t>スイドウ</t>
    </rPh>
    <rPh sb="4" eb="6">
      <t>サイヘン</t>
    </rPh>
    <rPh sb="6" eb="8">
      <t>スイシン</t>
    </rPh>
    <rPh sb="8" eb="10">
      <t>ジギョウ</t>
    </rPh>
    <rPh sb="12" eb="14">
      <t>トウゴウ</t>
    </rPh>
    <rPh sb="14" eb="16">
      <t>カンイ</t>
    </rPh>
    <rPh sb="16" eb="18">
      <t>スイドウ</t>
    </rPh>
    <phoneticPr fontId="6"/>
  </si>
  <si>
    <t>真田８簡水</t>
    <rPh sb="0" eb="2">
      <t>サナダ</t>
    </rPh>
    <rPh sb="3" eb="5">
      <t>カンスイ</t>
    </rPh>
    <phoneticPr fontId="6"/>
  </si>
  <si>
    <t>簡易水道再編推進事業
（簡易水道統合整備事業）</t>
    <rPh sb="0" eb="2">
      <t>カンイ</t>
    </rPh>
    <rPh sb="2" eb="4">
      <t>スイドウ</t>
    </rPh>
    <rPh sb="4" eb="6">
      <t>サイヘン</t>
    </rPh>
    <rPh sb="6" eb="8">
      <t>スイシン</t>
    </rPh>
    <rPh sb="8" eb="10">
      <t>ジギョウ</t>
    </rPh>
    <rPh sb="12" eb="14">
      <t>カンイ</t>
    </rPh>
    <rPh sb="14" eb="16">
      <t>スイドウ</t>
    </rPh>
    <rPh sb="16" eb="18">
      <t>トウゴウ</t>
    </rPh>
    <rPh sb="18" eb="20">
      <t>セイビ</t>
    </rPh>
    <rPh sb="20" eb="22">
      <t>ジギョウ</t>
    </rPh>
    <phoneticPr fontId="6"/>
  </si>
  <si>
    <t>生活基盤近代化事業
（増補改良）</t>
    <rPh sb="0" eb="2">
      <t>セイカツ</t>
    </rPh>
    <rPh sb="2" eb="4">
      <t>キバン</t>
    </rPh>
    <rPh sb="4" eb="7">
      <t>キンダイカ</t>
    </rPh>
    <rPh sb="7" eb="9">
      <t>ジギョウ</t>
    </rPh>
    <rPh sb="11" eb="13">
      <t>ゾウホ</t>
    </rPh>
    <rPh sb="13" eb="15">
      <t>カイリョウ</t>
    </rPh>
    <phoneticPr fontId="6"/>
  </si>
  <si>
    <t>大鹿村</t>
    <rPh sb="0" eb="2">
      <t>オオシカ</t>
    </rPh>
    <rPh sb="2" eb="3">
      <t>ムラ</t>
    </rPh>
    <phoneticPr fontId="6"/>
  </si>
  <si>
    <t>生活基盤近代化事業
（基幹改良）</t>
    <rPh sb="0" eb="2">
      <t>セイカツ</t>
    </rPh>
    <rPh sb="2" eb="4">
      <t>キバン</t>
    </rPh>
    <rPh sb="4" eb="7">
      <t>キンダイカ</t>
    </rPh>
    <rPh sb="7" eb="9">
      <t>ジギョウ</t>
    </rPh>
    <rPh sb="11" eb="13">
      <t>キカン</t>
    </rPh>
    <rPh sb="13" eb="15">
      <t>カイリョウ</t>
    </rPh>
    <phoneticPr fontId="6"/>
  </si>
  <si>
    <t>平谷村</t>
    <rPh sb="0" eb="3">
      <t>ヒラヤムラ</t>
    </rPh>
    <phoneticPr fontId="6"/>
  </si>
  <si>
    <t>平谷村地区</t>
    <rPh sb="0" eb="3">
      <t>ヒラヤムラ</t>
    </rPh>
    <rPh sb="3" eb="5">
      <t>チク</t>
    </rPh>
    <phoneticPr fontId="6"/>
  </si>
  <si>
    <t>売木村</t>
    <rPh sb="0" eb="3">
      <t>ウルギムラ</t>
    </rPh>
    <phoneticPr fontId="6"/>
  </si>
  <si>
    <t>売木地区</t>
    <rPh sb="0" eb="2">
      <t>ウルギ</t>
    </rPh>
    <rPh sb="2" eb="4">
      <t>チク</t>
    </rPh>
    <phoneticPr fontId="6"/>
  </si>
  <si>
    <t>朝日村</t>
    <rPh sb="0" eb="3">
      <t>アサヒムラ</t>
    </rPh>
    <phoneticPr fontId="6"/>
  </si>
  <si>
    <t>木祖村</t>
    <rPh sb="0" eb="3">
      <t>キソムラ</t>
    </rPh>
    <phoneticPr fontId="6"/>
  </si>
  <si>
    <t>木祖</t>
    <rPh sb="0" eb="2">
      <t>キソ</t>
    </rPh>
    <phoneticPr fontId="6"/>
  </si>
  <si>
    <t>大桑村</t>
    <rPh sb="0" eb="2">
      <t>オオクワ</t>
    </rPh>
    <rPh sb="2" eb="3">
      <t>ムラ</t>
    </rPh>
    <phoneticPr fontId="6"/>
  </si>
  <si>
    <t>全村</t>
    <rPh sb="0" eb="2">
      <t>ゼンソン</t>
    </rPh>
    <phoneticPr fontId="6"/>
  </si>
  <si>
    <t>小川村</t>
    <rPh sb="0" eb="3">
      <t>オガワムラ</t>
    </rPh>
    <phoneticPr fontId="6"/>
  </si>
  <si>
    <t>高度浄水施設等整備費
（高度浄水施設等整備費）</t>
    <rPh sb="0" eb="2">
      <t>コウド</t>
    </rPh>
    <rPh sb="2" eb="4">
      <t>ジョウスイ</t>
    </rPh>
    <rPh sb="4" eb="6">
      <t>シセツ</t>
    </rPh>
    <rPh sb="6" eb="7">
      <t>トウ</t>
    </rPh>
    <rPh sb="7" eb="10">
      <t>セイビヒ</t>
    </rPh>
    <rPh sb="12" eb="14">
      <t>コウド</t>
    </rPh>
    <rPh sb="14" eb="16">
      <t>ジョウスイ</t>
    </rPh>
    <rPh sb="16" eb="18">
      <t>シセツ</t>
    </rPh>
    <rPh sb="18" eb="19">
      <t>トウ</t>
    </rPh>
    <rPh sb="19" eb="22">
      <t>セイビヒ</t>
    </rPh>
    <phoneticPr fontId="6"/>
  </si>
  <si>
    <t>緊急時給水拠点確保等事業
（配水池）</t>
    <rPh sb="14" eb="17">
      <t>ハイスイチ</t>
    </rPh>
    <phoneticPr fontId="6"/>
  </si>
  <si>
    <t>松川町</t>
    <rPh sb="0" eb="2">
      <t>マツカワ</t>
    </rPh>
    <rPh sb="2" eb="3">
      <t>マチ</t>
    </rPh>
    <phoneticPr fontId="6"/>
  </si>
  <si>
    <t>緊急時給水拠点確保等事業
（緊急時用連絡管）</t>
    <rPh sb="14" eb="16">
      <t>キンキュウ</t>
    </rPh>
    <rPh sb="16" eb="18">
      <t>ジヨウ</t>
    </rPh>
    <rPh sb="18" eb="20">
      <t>レンラク</t>
    </rPh>
    <rPh sb="20" eb="21">
      <t>カン</t>
    </rPh>
    <phoneticPr fontId="6"/>
  </si>
  <si>
    <t>緊急時給水拠点確保等事業
（重要給水施設配水管）</t>
    <rPh sb="14" eb="16">
      <t>ジュウヨウ</t>
    </rPh>
    <rPh sb="16" eb="18">
      <t>キュウスイ</t>
    </rPh>
    <rPh sb="18" eb="20">
      <t>シセツ</t>
    </rPh>
    <rPh sb="20" eb="23">
      <t>ハイスイカン</t>
    </rPh>
    <phoneticPr fontId="6"/>
  </si>
  <si>
    <t>千曲市</t>
    <rPh sb="0" eb="3">
      <t>チクマシ</t>
    </rPh>
    <phoneticPr fontId="6"/>
  </si>
  <si>
    <t>緊急時給水拠点確保等事業
（基幹水道構造物の耐震化事業）</t>
    <rPh sb="14" eb="16">
      <t>キカン</t>
    </rPh>
    <rPh sb="16" eb="18">
      <t>スイドウ</t>
    </rPh>
    <rPh sb="18" eb="21">
      <t>コウゾウブツ</t>
    </rPh>
    <rPh sb="22" eb="25">
      <t>タイシンカ</t>
    </rPh>
    <rPh sb="25" eb="27">
      <t>ジギョウ</t>
    </rPh>
    <phoneticPr fontId="6"/>
  </si>
  <si>
    <t>２６．国庫補助事業及び交付金事業の事業数及び補助金等の推移</t>
    <rPh sb="3" eb="5">
      <t>コッコ</t>
    </rPh>
    <rPh sb="5" eb="7">
      <t>ホジョ</t>
    </rPh>
    <rPh sb="7" eb="9">
      <t>ジギョウ</t>
    </rPh>
    <rPh sb="9" eb="10">
      <t>オヨ</t>
    </rPh>
    <rPh sb="11" eb="14">
      <t>コウフキン</t>
    </rPh>
    <rPh sb="14" eb="16">
      <t>ジギョウ</t>
    </rPh>
    <rPh sb="17" eb="19">
      <t>ジギョウ</t>
    </rPh>
    <rPh sb="19" eb="20">
      <t>スウ</t>
    </rPh>
    <rPh sb="20" eb="21">
      <t>オヨ</t>
    </rPh>
    <rPh sb="22" eb="26">
      <t>ホジョキントウ</t>
    </rPh>
    <rPh sb="27" eb="29">
      <t>スイイ</t>
    </rPh>
    <phoneticPr fontId="5"/>
  </si>
  <si>
    <t>（１）国庫補助事業</t>
    <rPh sb="3" eb="5">
      <t>コッコ</t>
    </rPh>
    <rPh sb="5" eb="7">
      <t>ホジョ</t>
    </rPh>
    <rPh sb="7" eb="9">
      <t>ジギョウ</t>
    </rPh>
    <phoneticPr fontId="6"/>
  </si>
  <si>
    <t>水道水源開発等施設整備費</t>
    <rPh sb="0" eb="2">
      <t>スイドウスイ</t>
    </rPh>
    <rPh sb="2" eb="4">
      <t>スイゲン</t>
    </rPh>
    <rPh sb="4" eb="6">
      <t>カイハツ</t>
    </rPh>
    <rPh sb="6" eb="7">
      <t>トウ</t>
    </rPh>
    <rPh sb="7" eb="9">
      <t>シセツ</t>
    </rPh>
    <rPh sb="9" eb="12">
      <t>セイビヒ</t>
    </rPh>
    <phoneticPr fontId="5"/>
  </si>
  <si>
    <t>簡易水道等施設整備費</t>
    <rPh sb="0" eb="2">
      <t>カンイ</t>
    </rPh>
    <rPh sb="2" eb="4">
      <t>スイドウ</t>
    </rPh>
    <rPh sb="4" eb="5">
      <t>トウ</t>
    </rPh>
    <rPh sb="5" eb="7">
      <t>シセツ</t>
    </rPh>
    <rPh sb="7" eb="10">
      <t>セイビヒ</t>
    </rPh>
    <phoneticPr fontId="5"/>
  </si>
  <si>
    <t>災害復旧費</t>
    <rPh sb="0" eb="2">
      <t>サイガイ</t>
    </rPh>
    <rPh sb="2" eb="4">
      <t>フッキュウ</t>
    </rPh>
    <rPh sb="4" eb="5">
      <t>ヒ</t>
    </rPh>
    <phoneticPr fontId="5"/>
  </si>
  <si>
    <t>事業者数</t>
    <rPh sb="0" eb="3">
      <t>ジギョウシャ</t>
    </rPh>
    <rPh sb="3" eb="4">
      <t>スウ</t>
    </rPh>
    <phoneticPr fontId="5"/>
  </si>
  <si>
    <t>事業数</t>
    <rPh sb="0" eb="2">
      <t>ジギョウ</t>
    </rPh>
    <rPh sb="2" eb="3">
      <t>スウ</t>
    </rPh>
    <phoneticPr fontId="5"/>
  </si>
  <si>
    <t>補助
基本額
(千円)</t>
    <rPh sb="0" eb="2">
      <t>ホジョ</t>
    </rPh>
    <rPh sb="3" eb="6">
      <t>キホンガク</t>
    </rPh>
    <rPh sb="8" eb="10">
      <t>センエン</t>
    </rPh>
    <phoneticPr fontId="5"/>
  </si>
  <si>
    <t>補助金
(千円)</t>
    <rPh sb="0" eb="3">
      <t>ホジョキン</t>
    </rPh>
    <rPh sb="6" eb="8">
      <t>センエン</t>
    </rPh>
    <phoneticPr fontId="5"/>
  </si>
  <si>
    <t>（２）交付金事業</t>
    <rPh sb="3" eb="6">
      <t>コウフキン</t>
    </rPh>
    <rPh sb="6" eb="8">
      <t>ジギョウ</t>
    </rPh>
    <phoneticPr fontId="6"/>
  </si>
  <si>
    <t>生活基盤施設耐震化等交付金</t>
    <rPh sb="0" eb="2">
      <t>セイカツ</t>
    </rPh>
    <rPh sb="2" eb="4">
      <t>キバン</t>
    </rPh>
    <rPh sb="4" eb="6">
      <t>シセツ</t>
    </rPh>
    <rPh sb="6" eb="9">
      <t>タイシンカ</t>
    </rPh>
    <rPh sb="9" eb="10">
      <t>トウ</t>
    </rPh>
    <rPh sb="10" eb="13">
      <t>コウフキン</t>
    </rPh>
    <phoneticPr fontId="5"/>
  </si>
  <si>
    <t>※平成27年度は暫定運用期間（国からの直接交付）</t>
    <rPh sb="1" eb="3">
      <t>ヘイセイ</t>
    </rPh>
    <rPh sb="5" eb="7">
      <t>ネンド</t>
    </rPh>
    <rPh sb="8" eb="10">
      <t>ザンテイ</t>
    </rPh>
    <rPh sb="10" eb="12">
      <t>ウンヨウ</t>
    </rPh>
    <rPh sb="12" eb="14">
      <t>キカン</t>
    </rPh>
    <rPh sb="15" eb="16">
      <t>クニ</t>
    </rPh>
    <rPh sb="19" eb="21">
      <t>チョクセツ</t>
    </rPh>
    <rPh sb="21" eb="23">
      <t>コウフ</t>
    </rPh>
    <phoneticPr fontId="5"/>
  </si>
  <si>
    <t>２７．県費補助事業の事業内容及び事業費等</t>
    <rPh sb="3" eb="5">
      <t>ケンピ</t>
    </rPh>
    <rPh sb="5" eb="7">
      <t>ホジョ</t>
    </rPh>
    <rPh sb="7" eb="9">
      <t>ジギョウ</t>
    </rPh>
    <rPh sb="10" eb="12">
      <t>ジギョウ</t>
    </rPh>
    <rPh sb="12" eb="14">
      <t>ナイヨウ</t>
    </rPh>
    <rPh sb="14" eb="15">
      <t>オヨ</t>
    </rPh>
    <rPh sb="16" eb="20">
      <t>ジギョウヒトウ</t>
    </rPh>
    <phoneticPr fontId="6"/>
  </si>
  <si>
    <t>（１）水道水源確保支援事業</t>
    <rPh sb="3" eb="7">
      <t>スイドウスイゲン</t>
    </rPh>
    <rPh sb="7" eb="9">
      <t>カクホ</t>
    </rPh>
    <rPh sb="9" eb="11">
      <t>シエン</t>
    </rPh>
    <rPh sb="11" eb="13">
      <t>ジギョウ</t>
    </rPh>
    <phoneticPr fontId="6"/>
  </si>
  <si>
    <t>市町村名
（補助事業者）</t>
    <rPh sb="0" eb="3">
      <t>シチョウソン</t>
    </rPh>
    <rPh sb="3" eb="4">
      <t>メイ</t>
    </rPh>
    <rPh sb="6" eb="8">
      <t>ホジョ</t>
    </rPh>
    <rPh sb="8" eb="11">
      <t>ジギョウシャ</t>
    </rPh>
    <phoneticPr fontId="6"/>
  </si>
  <si>
    <t>水道名</t>
    <rPh sb="0" eb="2">
      <t>スイドウ</t>
    </rPh>
    <rPh sb="2" eb="3">
      <t>メイ</t>
    </rPh>
    <phoneticPr fontId="6"/>
  </si>
  <si>
    <t>（２）水道施設災害復旧事業</t>
    <rPh sb="3" eb="7">
      <t>スイドウシセツ</t>
    </rPh>
    <rPh sb="7" eb="9">
      <t>サイガイ</t>
    </rPh>
    <rPh sb="9" eb="11">
      <t>フッキュウ</t>
    </rPh>
    <rPh sb="11" eb="13">
      <t>ジギョウ</t>
    </rPh>
    <phoneticPr fontId="6"/>
  </si>
  <si>
    <t>２８．県費補助事業の事業数及び補助金等の推移</t>
    <rPh sb="3" eb="5">
      <t>ケンピ</t>
    </rPh>
    <rPh sb="5" eb="7">
      <t>ホジョ</t>
    </rPh>
    <rPh sb="7" eb="9">
      <t>ジギョウ</t>
    </rPh>
    <rPh sb="10" eb="12">
      <t>ジギョウ</t>
    </rPh>
    <rPh sb="12" eb="13">
      <t>スウ</t>
    </rPh>
    <rPh sb="13" eb="14">
      <t>オヨ</t>
    </rPh>
    <rPh sb="15" eb="19">
      <t>ホジョキントウ</t>
    </rPh>
    <rPh sb="20" eb="22">
      <t>スイイ</t>
    </rPh>
    <phoneticPr fontId="5"/>
  </si>
  <si>
    <t>水資源開発</t>
    <rPh sb="0" eb="3">
      <t>スイドウスイ</t>
    </rPh>
    <rPh sb="3" eb="5">
      <t>カイハツ</t>
    </rPh>
    <phoneticPr fontId="5"/>
  </si>
  <si>
    <t>水道水源確保支援</t>
    <rPh sb="0" eb="4">
      <t>スイドウスイゲン</t>
    </rPh>
    <rPh sb="4" eb="6">
      <t>カクホ</t>
    </rPh>
    <rPh sb="6" eb="8">
      <t>シエン</t>
    </rPh>
    <phoneticPr fontId="5"/>
  </si>
  <si>
    <t>共同水質検査施設</t>
    <rPh sb="0" eb="2">
      <t>キョウドウ</t>
    </rPh>
    <rPh sb="2" eb="4">
      <t>スイシツ</t>
    </rPh>
    <rPh sb="4" eb="6">
      <t>ケンサ</t>
    </rPh>
    <rPh sb="6" eb="8">
      <t>シセツ</t>
    </rPh>
    <phoneticPr fontId="5"/>
  </si>
  <si>
    <t>簡易水道等</t>
    <rPh sb="0" eb="2">
      <t>カンイ</t>
    </rPh>
    <rPh sb="2" eb="4">
      <t>スイドウ</t>
    </rPh>
    <rPh sb="4" eb="5">
      <t>トウ</t>
    </rPh>
    <phoneticPr fontId="5"/>
  </si>
  <si>
    <t>災害復旧</t>
    <rPh sb="0" eb="2">
      <t>サイガイ</t>
    </rPh>
    <rPh sb="2" eb="4">
      <t>フッキュウ</t>
    </rPh>
    <phoneticPr fontId="5"/>
  </si>
  <si>
    <t>市町村数</t>
    <rPh sb="0" eb="3">
      <t>シチョウソン</t>
    </rPh>
    <rPh sb="3" eb="4">
      <t>スウ</t>
    </rPh>
    <phoneticPr fontId="5"/>
  </si>
  <si>
    <t>補助金
(千円)</t>
    <rPh sb="0" eb="3">
      <t>ホジョキン</t>
    </rPh>
    <rPh sb="5" eb="7">
      <t>センエン</t>
    </rPh>
    <phoneticPr fontId="5"/>
  </si>
  <si>
    <t>元</t>
  </si>
  <si>
    <t>元</t>
    <phoneticPr fontId="5"/>
  </si>
  <si>
    <t>２９．水道関連ダムの概況</t>
    <rPh sb="3" eb="5">
      <t>スイドウ</t>
    </rPh>
    <rPh sb="5" eb="7">
      <t>カンレン</t>
    </rPh>
    <rPh sb="10" eb="12">
      <t>ガイキョウ</t>
    </rPh>
    <phoneticPr fontId="5"/>
  </si>
  <si>
    <t>※ダム建設に係る水道事業者負担金について、水道関係国庫補助金又は県費補助金が充てられたもの</t>
    <rPh sb="3" eb="5">
      <t>ケンセツ</t>
    </rPh>
    <rPh sb="6" eb="7">
      <t>カカ</t>
    </rPh>
    <rPh sb="8" eb="10">
      <t>スイドウ</t>
    </rPh>
    <rPh sb="10" eb="13">
      <t>ジギョウシャ</t>
    </rPh>
    <rPh sb="13" eb="16">
      <t>フタンキン</t>
    </rPh>
    <rPh sb="21" eb="23">
      <t>スイドウ</t>
    </rPh>
    <rPh sb="23" eb="25">
      <t>カンケイ</t>
    </rPh>
    <rPh sb="25" eb="27">
      <t>コッコ</t>
    </rPh>
    <rPh sb="27" eb="29">
      <t>ホジョ</t>
    </rPh>
    <rPh sb="29" eb="30">
      <t>キン</t>
    </rPh>
    <rPh sb="30" eb="31">
      <t>マタ</t>
    </rPh>
    <rPh sb="32" eb="34">
      <t>ケンピ</t>
    </rPh>
    <rPh sb="34" eb="36">
      <t>ホジョ</t>
    </rPh>
    <rPh sb="36" eb="37">
      <t>キン</t>
    </rPh>
    <rPh sb="38" eb="39">
      <t>ア</t>
    </rPh>
    <phoneticPr fontId="5"/>
  </si>
  <si>
    <t>ダム名</t>
    <phoneticPr fontId="5"/>
  </si>
  <si>
    <t>裾花ダム</t>
  </si>
  <si>
    <t>菅平ダム</t>
  </si>
  <si>
    <t>松川ダム</t>
  </si>
  <si>
    <t>奥裾花ダム</t>
  </si>
  <si>
    <t>奈良井ダム</t>
  </si>
  <si>
    <t>内村ダム</t>
  </si>
  <si>
    <t>大町ダム</t>
  </si>
  <si>
    <t>片桐ダム</t>
  </si>
  <si>
    <t>箕輪ダム</t>
  </si>
  <si>
    <t>豊丘ダム</t>
  </si>
  <si>
    <t>水上ダム</t>
  </si>
  <si>
    <t>ダム事業</t>
    <rPh sb="2" eb="4">
      <t>ジギョウ</t>
    </rPh>
    <phoneticPr fontId="5"/>
  </si>
  <si>
    <t>事業主体</t>
    <rPh sb="0" eb="2">
      <t>ジギョウ</t>
    </rPh>
    <rPh sb="2" eb="4">
      <t>シュタイ</t>
    </rPh>
    <phoneticPr fontId="5"/>
  </si>
  <si>
    <t>県</t>
  </si>
  <si>
    <t>建設省</t>
  </si>
  <si>
    <t>工期</t>
    <phoneticPr fontId="5"/>
  </si>
  <si>
    <t>40～44</t>
  </si>
  <si>
    <t>41～44</t>
  </si>
  <si>
    <t>45～49</t>
  </si>
  <si>
    <t>47～54</t>
  </si>
  <si>
    <t>48～58</t>
  </si>
  <si>
    <t>49～60</t>
  </si>
  <si>
    <t>56～H2</t>
  </si>
  <si>
    <t>55～H4</t>
  </si>
  <si>
    <t>57～H6</t>
  </si>
  <si>
    <t>H4～H12</t>
    <phoneticPr fontId="5"/>
  </si>
  <si>
    <t>総事業費(千円)</t>
    <rPh sb="0" eb="1">
      <t>ソウ</t>
    </rPh>
    <rPh sb="5" eb="7">
      <t>センエン</t>
    </rPh>
    <phoneticPr fontId="5"/>
  </si>
  <si>
    <t>水道事業者等</t>
    <rPh sb="5" eb="6">
      <t>トウ</t>
    </rPh>
    <phoneticPr fontId="5"/>
  </si>
  <si>
    <t>長 野 市</t>
    <phoneticPr fontId="5"/>
  </si>
  <si>
    <t>上 田 市</t>
    <phoneticPr fontId="5"/>
  </si>
  <si>
    <t>飯 田 市</t>
    <phoneticPr fontId="5"/>
  </si>
  <si>
    <t>鬼無里村</t>
    <phoneticPr fontId="5"/>
  </si>
  <si>
    <t>長 野 県</t>
    <phoneticPr fontId="5"/>
  </si>
  <si>
    <t>丸 子 町</t>
    <phoneticPr fontId="5"/>
  </si>
  <si>
    <t>高瀬広域水道用水企業団</t>
    <phoneticPr fontId="5"/>
  </si>
  <si>
    <t>松 川 町</t>
    <phoneticPr fontId="5"/>
  </si>
  <si>
    <t>長野県上伊那広域水道用水企業団</t>
    <rPh sb="0" eb="3">
      <t>ナガノケン</t>
    </rPh>
    <phoneticPr fontId="5"/>
  </si>
  <si>
    <t>須 坂 市</t>
    <phoneticPr fontId="5"/>
  </si>
  <si>
    <t>四 賀 村</t>
    <phoneticPr fontId="5"/>
  </si>
  <si>
    <t>水道負担率</t>
    <rPh sb="2" eb="5">
      <t>フタンリツ</t>
    </rPh>
    <phoneticPr fontId="5"/>
  </si>
  <si>
    <t>水道負担金(千円)[ａ]</t>
    <rPh sb="6" eb="8">
      <t>センエン</t>
    </rPh>
    <phoneticPr fontId="5"/>
  </si>
  <si>
    <t>水道関係補助金（千円）</t>
    <rPh sb="2" eb="4">
      <t>カンケイ</t>
    </rPh>
    <rPh sb="8" eb="10">
      <t>センエン</t>
    </rPh>
    <phoneticPr fontId="5"/>
  </si>
  <si>
    <t>国庫補助</t>
    <rPh sb="0" eb="2">
      <t>コッコ</t>
    </rPh>
    <rPh sb="2" eb="4">
      <t>ホジョ</t>
    </rPh>
    <phoneticPr fontId="5"/>
  </si>
  <si>
    <t>県費補助</t>
    <rPh sb="0" eb="2">
      <t>ケンピ</t>
    </rPh>
    <rPh sb="2" eb="4">
      <t>ホジョ</t>
    </rPh>
    <phoneticPr fontId="5"/>
  </si>
  <si>
    <t>計</t>
  </si>
  <si>
    <t>開発水量(m3/日)[ｂ]</t>
    <rPh sb="8" eb="9">
      <t>ニチ</t>
    </rPh>
    <phoneticPr fontId="5"/>
  </si>
  <si>
    <t>単価(千円)[a/b]</t>
    <rPh sb="0" eb="1">
      <t>タン</t>
    </rPh>
    <rPh sb="1" eb="2">
      <t>アタイ</t>
    </rPh>
    <rPh sb="3" eb="5">
      <t>センエン</t>
    </rPh>
    <phoneticPr fontId="5"/>
  </si>
  <si>
    <t>ダム諸元</t>
    <phoneticPr fontId="5"/>
  </si>
  <si>
    <t>目的</t>
    <phoneticPr fontId="5"/>
  </si>
  <si>
    <t>F.W.P</t>
  </si>
  <si>
    <t>W.P.A</t>
  </si>
  <si>
    <t>F.W.N</t>
  </si>
  <si>
    <t>F.W.N.P</t>
  </si>
  <si>
    <t>堤高(m)</t>
    <phoneticPr fontId="5"/>
  </si>
  <si>
    <t>堤長(m)</t>
    <phoneticPr fontId="5"/>
  </si>
  <si>
    <t>有効貯水量(千m3)</t>
    <rPh sb="6" eb="7">
      <t>セン</t>
    </rPh>
    <phoneticPr fontId="5"/>
  </si>
  <si>
    <t>水道容量(千m3)</t>
    <rPh sb="5" eb="6">
      <t>セン</t>
    </rPh>
    <phoneticPr fontId="5"/>
  </si>
  <si>
    <t>＊Ｆ：治水　Ｗ：水道　Ｎ：流水の維持　Ｐ：発電　Ａ：農業</t>
    <phoneticPr fontId="5"/>
  </si>
  <si>
    <t>（１）水道用水供給事業</t>
    <rPh sb="3" eb="5">
      <t>スイドウ</t>
    </rPh>
    <rPh sb="5" eb="7">
      <t>ヨウスイ</t>
    </rPh>
    <rPh sb="7" eb="9">
      <t>キョウキュウ</t>
    </rPh>
    <rPh sb="9" eb="11">
      <t>ジギョウ</t>
    </rPh>
    <phoneticPr fontId="6"/>
  </si>
  <si>
    <t>計　2事業</t>
    <rPh sb="0" eb="1">
      <t>ケイ</t>
    </rPh>
    <rPh sb="3" eb="5">
      <t>ジギョウ</t>
    </rPh>
    <phoneticPr fontId="6"/>
  </si>
  <si>
    <t>（２）上水道</t>
    <rPh sb="3" eb="6">
      <t>ジョウスイドウ</t>
    </rPh>
    <phoneticPr fontId="6"/>
  </si>
  <si>
    <t>計　8事業</t>
    <rPh sb="0" eb="1">
      <t>ケイ</t>
    </rPh>
    <rPh sb="3" eb="5">
      <t>ジギョウ</t>
    </rPh>
    <phoneticPr fontId="6"/>
  </si>
  <si>
    <t>３１．複数の市町村にまたがる上水道及び簡易水道</t>
    <rPh sb="3" eb="5">
      <t>フクスウ</t>
    </rPh>
    <rPh sb="6" eb="9">
      <t>シチョウソン</t>
    </rPh>
    <rPh sb="14" eb="15">
      <t>ジョウ</t>
    </rPh>
    <rPh sb="15" eb="17">
      <t>スイドウ</t>
    </rPh>
    <rPh sb="17" eb="18">
      <t>オヨ</t>
    </rPh>
    <rPh sb="19" eb="21">
      <t>カンイ</t>
    </rPh>
    <rPh sb="21" eb="23">
      <t>スイドウ</t>
    </rPh>
    <phoneticPr fontId="6"/>
  </si>
  <si>
    <t>（１）上水道</t>
    <rPh sb="3" eb="6">
      <t>ジョウスイドウ</t>
    </rPh>
    <phoneticPr fontId="6"/>
  </si>
  <si>
    <t>給水対象市町村</t>
    <rPh sb="0" eb="2">
      <t>キュウスイ</t>
    </rPh>
    <rPh sb="2" eb="4">
      <t>タイショウ</t>
    </rPh>
    <rPh sb="4" eb="7">
      <t>シチョウソン</t>
    </rPh>
    <phoneticPr fontId="6"/>
  </si>
  <si>
    <t>小諸市</t>
    <rPh sb="0" eb="2">
      <t>コモロ</t>
    </rPh>
    <rPh sb="2" eb="3">
      <t>シ</t>
    </rPh>
    <phoneticPr fontId="6"/>
  </si>
  <si>
    <t>小諸市、佐久市、東御市</t>
    <rPh sb="0" eb="2">
      <t>コモロ</t>
    </rPh>
    <rPh sb="2" eb="3">
      <t>シ</t>
    </rPh>
    <rPh sb="4" eb="7">
      <t>サクシ</t>
    </rPh>
    <rPh sb="8" eb="11">
      <t>トウミシ</t>
    </rPh>
    <phoneticPr fontId="6"/>
  </si>
  <si>
    <t>立科町</t>
    <rPh sb="0" eb="2">
      <t>タテシナ</t>
    </rPh>
    <rPh sb="2" eb="3">
      <t>マチ</t>
    </rPh>
    <phoneticPr fontId="6"/>
  </si>
  <si>
    <t>立科町、佐久市、上田市</t>
    <rPh sb="0" eb="3">
      <t>タテシナマチ</t>
    </rPh>
    <rPh sb="4" eb="7">
      <t>サクシ</t>
    </rPh>
    <rPh sb="8" eb="11">
      <t>ウエダシ</t>
    </rPh>
    <phoneticPr fontId="6"/>
  </si>
  <si>
    <t>佐久市、佐久穂町、御代田町、東御市</t>
    <rPh sb="0" eb="3">
      <t>サクシ</t>
    </rPh>
    <rPh sb="4" eb="6">
      <t>サク</t>
    </rPh>
    <rPh sb="6" eb="7">
      <t>ホ</t>
    </rPh>
    <rPh sb="7" eb="8">
      <t>マチ</t>
    </rPh>
    <rPh sb="9" eb="13">
      <t>ミヨタマチ</t>
    </rPh>
    <rPh sb="14" eb="17">
      <t>トウミシ</t>
    </rPh>
    <phoneticPr fontId="6"/>
  </si>
  <si>
    <t>茅野市、原村</t>
    <rPh sb="0" eb="3">
      <t>チノシ</t>
    </rPh>
    <rPh sb="4" eb="6">
      <t>ハラムラ</t>
    </rPh>
    <phoneticPr fontId="6"/>
  </si>
  <si>
    <t>伊那市</t>
    <rPh sb="0" eb="2">
      <t>イナ</t>
    </rPh>
    <rPh sb="2" eb="3">
      <t>シ</t>
    </rPh>
    <phoneticPr fontId="6"/>
  </si>
  <si>
    <t>伊那市、南箕輪村</t>
    <rPh sb="0" eb="3">
      <t>イナシ</t>
    </rPh>
    <rPh sb="4" eb="8">
      <t>ミナミミノワムラ</t>
    </rPh>
    <phoneticPr fontId="6"/>
  </si>
  <si>
    <t>南箕輪村、伊那市</t>
    <rPh sb="0" eb="4">
      <t>ミナミミノワムラ</t>
    </rPh>
    <phoneticPr fontId="6"/>
  </si>
  <si>
    <t>木曽町、上松町</t>
    <rPh sb="0" eb="3">
      <t>キソマチ</t>
    </rPh>
    <rPh sb="4" eb="7">
      <t>カミマツチョウ</t>
    </rPh>
    <phoneticPr fontId="6"/>
  </si>
  <si>
    <t>長野県</t>
    <rPh sb="0" eb="2">
      <t>ナガノ</t>
    </rPh>
    <rPh sb="2" eb="3">
      <t>ケン</t>
    </rPh>
    <phoneticPr fontId="6"/>
  </si>
  <si>
    <t>長野市、上田市、千曲市、坂城町</t>
    <rPh sb="4" eb="7">
      <t>ウエダシ</t>
    </rPh>
    <rPh sb="8" eb="10">
      <t>チクマ</t>
    </rPh>
    <rPh sb="10" eb="11">
      <t>シ</t>
    </rPh>
    <rPh sb="12" eb="15">
      <t>サカキマチ</t>
    </rPh>
    <phoneticPr fontId="6"/>
  </si>
  <si>
    <t>長野市、小布施町</t>
    <rPh sb="0" eb="3">
      <t>ナガノシ</t>
    </rPh>
    <rPh sb="4" eb="8">
      <t>オブセマチ</t>
    </rPh>
    <phoneticPr fontId="6"/>
  </si>
  <si>
    <t>飯山市、木島平村</t>
    <rPh sb="0" eb="3">
      <t>イイヤマシ</t>
    </rPh>
    <rPh sb="4" eb="8">
      <t>キジマダイラムラ</t>
    </rPh>
    <phoneticPr fontId="6"/>
  </si>
  <si>
    <t>（２）簡易水道</t>
    <rPh sb="3" eb="5">
      <t>カンイ</t>
    </rPh>
    <rPh sb="5" eb="7">
      <t>スイドウ</t>
    </rPh>
    <phoneticPr fontId="6"/>
  </si>
  <si>
    <t>事業名</t>
    <rPh sb="0" eb="2">
      <t>ジギョウ</t>
    </rPh>
    <rPh sb="2" eb="3">
      <t>メイ</t>
    </rPh>
    <phoneticPr fontId="6"/>
  </si>
  <si>
    <t>斑尾高原</t>
    <rPh sb="0" eb="1">
      <t>マダラ</t>
    </rPh>
    <rPh sb="1" eb="2">
      <t>オ</t>
    </rPh>
    <rPh sb="2" eb="4">
      <t>コウゲン</t>
    </rPh>
    <phoneticPr fontId="6"/>
  </si>
  <si>
    <t>飯山市、妙高市（新潟県）</t>
    <rPh sb="0" eb="3">
      <t>イイヤマシ</t>
    </rPh>
    <rPh sb="4" eb="7">
      <t>ミョウコウシ</t>
    </rPh>
    <rPh sb="8" eb="11">
      <t>ニイガタケン</t>
    </rPh>
    <phoneticPr fontId="6"/>
  </si>
  <si>
    <t>・町村に指導監督権限がある水道については、町村が水質検査件数を把握している範囲で、県へ情報提供があった件数（町村に所在する専水）</t>
    <rPh sb="1" eb="3">
      <t>チョウソン</t>
    </rPh>
    <rPh sb="4" eb="6">
      <t>シドウ</t>
    </rPh>
    <rPh sb="6" eb="8">
      <t>カントク</t>
    </rPh>
    <rPh sb="8" eb="10">
      <t>ケンゲン</t>
    </rPh>
    <rPh sb="13" eb="15">
      <t>スイドウ</t>
    </rPh>
    <rPh sb="21" eb="23">
      <t>チョウソン</t>
    </rPh>
    <rPh sb="24" eb="26">
      <t>スイシツ</t>
    </rPh>
    <rPh sb="26" eb="28">
      <t>ケンサ</t>
    </rPh>
    <rPh sb="28" eb="30">
      <t>ケンスウ</t>
    </rPh>
    <rPh sb="31" eb="33">
      <t>ハアク</t>
    </rPh>
    <rPh sb="37" eb="39">
      <t>ハンイ</t>
    </rPh>
    <rPh sb="41" eb="42">
      <t>ケン</t>
    </rPh>
    <rPh sb="43" eb="45">
      <t>ジョウホウ</t>
    </rPh>
    <rPh sb="45" eb="47">
      <t>テイキョウ</t>
    </rPh>
    <rPh sb="51" eb="53">
      <t>ケンスウ</t>
    </rPh>
    <rPh sb="54" eb="56">
      <t>チョウソン</t>
    </rPh>
    <rPh sb="57" eb="59">
      <t>ショザイ</t>
    </rPh>
    <rPh sb="61" eb="62">
      <t>セン</t>
    </rPh>
    <rPh sb="62" eb="63">
      <t>スイ</t>
    </rPh>
    <phoneticPr fontId="6"/>
  </si>
  <si>
    <t>・市に指導監督権限がある水道については、市が水質検査件数を把握している範囲で、県へ情報提供があった件数（市に所在する専水、飲供及び簡給）</t>
    <rPh sb="1" eb="2">
      <t>シ</t>
    </rPh>
    <rPh sb="3" eb="5">
      <t>シドウ</t>
    </rPh>
    <rPh sb="5" eb="7">
      <t>カントク</t>
    </rPh>
    <rPh sb="7" eb="9">
      <t>ケンゲン</t>
    </rPh>
    <rPh sb="12" eb="14">
      <t>スイドウ</t>
    </rPh>
    <rPh sb="20" eb="21">
      <t>シ</t>
    </rPh>
    <rPh sb="22" eb="24">
      <t>スイシツ</t>
    </rPh>
    <rPh sb="24" eb="26">
      <t>ケンサ</t>
    </rPh>
    <rPh sb="26" eb="28">
      <t>ケンスウ</t>
    </rPh>
    <rPh sb="29" eb="31">
      <t>ハアク</t>
    </rPh>
    <rPh sb="35" eb="37">
      <t>ハンイ</t>
    </rPh>
    <rPh sb="39" eb="40">
      <t>ケン</t>
    </rPh>
    <rPh sb="41" eb="43">
      <t>ジョウホウ</t>
    </rPh>
    <rPh sb="43" eb="45">
      <t>テイキョウ</t>
    </rPh>
    <rPh sb="49" eb="51">
      <t>ケンスウ</t>
    </rPh>
    <rPh sb="52" eb="53">
      <t>シ</t>
    </rPh>
    <rPh sb="54" eb="56">
      <t>ショザイ</t>
    </rPh>
    <rPh sb="61" eb="62">
      <t>イン</t>
    </rPh>
    <rPh sb="62" eb="63">
      <t>キョウ</t>
    </rPh>
    <rPh sb="63" eb="64">
      <t>オヨ</t>
    </rPh>
    <rPh sb="65" eb="66">
      <t>カン</t>
    </rPh>
    <rPh sb="66" eb="67">
      <t>キュウ</t>
    </rPh>
    <phoneticPr fontId="6"/>
  </si>
  <si>
    <t>・国に指導監督権限がある水道については、県へ情報提供があった件数（大臣認可上水及び用供）</t>
    <rPh sb="1" eb="2">
      <t>クニ</t>
    </rPh>
    <rPh sb="3" eb="5">
      <t>シドウ</t>
    </rPh>
    <rPh sb="5" eb="7">
      <t>カントク</t>
    </rPh>
    <rPh sb="7" eb="9">
      <t>ケンゲン</t>
    </rPh>
    <rPh sb="12" eb="14">
      <t>スイドウ</t>
    </rPh>
    <rPh sb="20" eb="21">
      <t>ケン</t>
    </rPh>
    <rPh sb="22" eb="24">
      <t>ジョウホウ</t>
    </rPh>
    <rPh sb="24" eb="26">
      <t>テイキョウ</t>
    </rPh>
    <rPh sb="30" eb="32">
      <t>ケンスウ</t>
    </rPh>
    <rPh sb="33" eb="35">
      <t>ダイジン</t>
    </rPh>
    <rPh sb="35" eb="37">
      <t>ニンカ</t>
    </rPh>
    <rPh sb="37" eb="38">
      <t>ジョウ</t>
    </rPh>
    <rPh sb="38" eb="39">
      <t>ミズ</t>
    </rPh>
    <rPh sb="39" eb="40">
      <t>オヨ</t>
    </rPh>
    <rPh sb="41" eb="42">
      <t>ヨウ</t>
    </rPh>
    <rPh sb="42" eb="43">
      <t>キョウ</t>
    </rPh>
    <phoneticPr fontId="6"/>
  </si>
  <si>
    <t>・国に指導監督権限がある水道については、県へ情報提供があった件数（大臣認可上水及び用供）</t>
    <rPh sb="1" eb="2">
      <t>クニ</t>
    </rPh>
    <rPh sb="3" eb="5">
      <t>シドウ</t>
    </rPh>
    <rPh sb="5" eb="7">
      <t>カントク</t>
    </rPh>
    <rPh sb="7" eb="9">
      <t>ケンゲン</t>
    </rPh>
    <rPh sb="12" eb="14">
      <t>スイドウ</t>
    </rPh>
    <rPh sb="20" eb="21">
      <t>ケン</t>
    </rPh>
    <rPh sb="22" eb="24">
      <t>ジョウホウ</t>
    </rPh>
    <rPh sb="24" eb="26">
      <t>テイキョウ</t>
    </rPh>
    <rPh sb="30" eb="32">
      <t>ケンスウ</t>
    </rPh>
    <rPh sb="33" eb="35">
      <t>ダイジン</t>
    </rPh>
    <rPh sb="35" eb="37">
      <t>ニンカ</t>
    </rPh>
    <rPh sb="37" eb="39">
      <t>ジョウスイ</t>
    </rPh>
    <rPh sb="39" eb="40">
      <t>オヨ</t>
    </rPh>
    <rPh sb="41" eb="42">
      <t>ヨウ</t>
    </rPh>
    <rPh sb="42" eb="43">
      <t>キョウ</t>
    </rPh>
    <phoneticPr fontId="6"/>
  </si>
  <si>
    <t>・県に指導監督権限がある水道については、全ての件数（知事認可上水及び用供、簡水、町村に所在する飲供及び簡給）</t>
    <rPh sb="1" eb="2">
      <t>ケン</t>
    </rPh>
    <rPh sb="3" eb="5">
      <t>シドウ</t>
    </rPh>
    <rPh sb="5" eb="7">
      <t>カントク</t>
    </rPh>
    <rPh sb="7" eb="9">
      <t>ケンゲン</t>
    </rPh>
    <rPh sb="12" eb="14">
      <t>スイドウ</t>
    </rPh>
    <rPh sb="20" eb="21">
      <t>スベ</t>
    </rPh>
    <rPh sb="23" eb="25">
      <t>ケンスウ</t>
    </rPh>
    <rPh sb="26" eb="28">
      <t>チジ</t>
    </rPh>
    <rPh sb="28" eb="30">
      <t>ニンカ</t>
    </rPh>
    <rPh sb="30" eb="31">
      <t>ジョウ</t>
    </rPh>
    <rPh sb="31" eb="32">
      <t>ミズ</t>
    </rPh>
    <rPh sb="32" eb="33">
      <t>オヨ</t>
    </rPh>
    <rPh sb="34" eb="35">
      <t>ヨウ</t>
    </rPh>
    <rPh sb="35" eb="36">
      <t>キョウ</t>
    </rPh>
    <rPh sb="37" eb="38">
      <t>カン</t>
    </rPh>
    <rPh sb="38" eb="39">
      <t>スイ</t>
    </rPh>
    <rPh sb="40" eb="42">
      <t>チョウソン</t>
    </rPh>
    <rPh sb="43" eb="45">
      <t>ショザイ</t>
    </rPh>
    <rPh sb="47" eb="48">
      <t>ノ</t>
    </rPh>
    <rPh sb="48" eb="49">
      <t>キョウ</t>
    </rPh>
    <rPh sb="49" eb="50">
      <t>オヨ</t>
    </rPh>
    <rPh sb="51" eb="52">
      <t>カン</t>
    </rPh>
    <rPh sb="52" eb="53">
      <t>キュウ</t>
    </rPh>
    <phoneticPr fontId="6"/>
  </si>
  <si>
    <t>※集計範囲は次のとおり。</t>
    <rPh sb="1" eb="3">
      <t>シュウケイ</t>
    </rPh>
    <rPh sb="3" eb="5">
      <t>ハンイ</t>
    </rPh>
    <rPh sb="6" eb="7">
      <t>ツギ</t>
    </rPh>
    <phoneticPr fontId="6"/>
  </si>
  <si>
    <t>・県に指導監督権限がある水道については、全ての件数（知事認可上水及び用供、簡水、町村に所在する飲供及び簡給）</t>
    <rPh sb="1" eb="2">
      <t>ケン</t>
    </rPh>
    <rPh sb="3" eb="5">
      <t>シドウ</t>
    </rPh>
    <rPh sb="5" eb="7">
      <t>カントク</t>
    </rPh>
    <rPh sb="7" eb="9">
      <t>ケンゲン</t>
    </rPh>
    <rPh sb="12" eb="14">
      <t>スイドウ</t>
    </rPh>
    <rPh sb="20" eb="21">
      <t>スベ</t>
    </rPh>
    <rPh sb="23" eb="25">
      <t>ケンスウ</t>
    </rPh>
    <rPh sb="26" eb="28">
      <t>チジ</t>
    </rPh>
    <rPh sb="28" eb="30">
      <t>ニンカ</t>
    </rPh>
    <rPh sb="30" eb="32">
      <t>ジョウスイ</t>
    </rPh>
    <rPh sb="32" eb="33">
      <t>オヨ</t>
    </rPh>
    <rPh sb="34" eb="35">
      <t>ヨウ</t>
    </rPh>
    <rPh sb="35" eb="36">
      <t>キョウ</t>
    </rPh>
    <rPh sb="37" eb="39">
      <t>カンスイ</t>
    </rPh>
    <rPh sb="38" eb="39">
      <t>ミズ</t>
    </rPh>
    <rPh sb="40" eb="42">
      <t>チョウソン</t>
    </rPh>
    <rPh sb="43" eb="45">
      <t>ショザイ</t>
    </rPh>
    <rPh sb="47" eb="48">
      <t>イン</t>
    </rPh>
    <rPh sb="48" eb="49">
      <t>キョウ</t>
    </rPh>
    <rPh sb="49" eb="50">
      <t>オヨ</t>
    </rPh>
    <rPh sb="51" eb="52">
      <t>カン</t>
    </rPh>
    <rPh sb="52" eb="53">
      <t>キュウ</t>
    </rPh>
    <phoneticPr fontId="6"/>
  </si>
  <si>
    <t/>
  </si>
  <si>
    <t>基準超過</t>
  </si>
  <si>
    <t>小　　計</t>
  </si>
  <si>
    <t>そ の 他</t>
  </si>
  <si>
    <t>概ね1ｹ月項目</t>
    <rPh sb="0" eb="1">
      <t>オオム</t>
    </rPh>
    <rPh sb="4" eb="5">
      <t>ゲツ</t>
    </rPh>
    <rPh sb="5" eb="7">
      <t>コウモク</t>
    </rPh>
    <phoneticPr fontId="6"/>
  </si>
  <si>
    <t>全 項 目</t>
  </si>
  <si>
    <t>給
水
栓
計</t>
    <rPh sb="0" eb="5">
      <t>キュウスイセン</t>
    </rPh>
    <rPh sb="6" eb="7">
      <t>ケイ</t>
    </rPh>
    <phoneticPr fontId="6"/>
  </si>
  <si>
    <t>簡
易
給
水</t>
    <rPh sb="0" eb="3">
      <t>カンイ</t>
    </rPh>
    <rPh sb="4" eb="7">
      <t>キュウスイ</t>
    </rPh>
    <phoneticPr fontId="6"/>
  </si>
  <si>
    <t>飲
料
水
供
給</t>
    <rPh sb="0" eb="5">
      <t>インリョウスイ</t>
    </rPh>
    <rPh sb="6" eb="9">
      <t>キョウキュウ</t>
    </rPh>
    <phoneticPr fontId="6"/>
  </si>
  <si>
    <t>法
定
外</t>
    <rPh sb="0" eb="7">
      <t>ホウテイガイ</t>
    </rPh>
    <phoneticPr fontId="6"/>
  </si>
  <si>
    <t>用
水
供
給</t>
    <rPh sb="0" eb="3">
      <t>ヨウスイ</t>
    </rPh>
    <rPh sb="4" eb="7">
      <t>キョウキュウ</t>
    </rPh>
    <phoneticPr fontId="6"/>
  </si>
  <si>
    <t>専
用
水
道</t>
    <rPh sb="0" eb="3">
      <t>センヨウ</t>
    </rPh>
    <rPh sb="4" eb="7">
      <t>スイドウ</t>
    </rPh>
    <phoneticPr fontId="6"/>
  </si>
  <si>
    <t>簡
易
水
道</t>
    <rPh sb="0" eb="3">
      <t>カンイ</t>
    </rPh>
    <rPh sb="4" eb="7">
      <t>スイドウ</t>
    </rPh>
    <phoneticPr fontId="6"/>
  </si>
  <si>
    <t>上
水
道</t>
    <rPh sb="0" eb="5">
      <t>ジョウスイドウ</t>
    </rPh>
    <phoneticPr fontId="6"/>
  </si>
  <si>
    <t>法
定
水
道</t>
    <rPh sb="0" eb="4">
      <t>ホウテイ</t>
    </rPh>
    <rPh sb="6" eb="10">
      <t>スイドウ</t>
    </rPh>
    <phoneticPr fontId="6"/>
  </si>
  <si>
    <t>給
水
栓
水</t>
    <rPh sb="0" eb="5">
      <t>キュウスイ</t>
    </rPh>
    <rPh sb="8" eb="9">
      <t>セン</t>
    </rPh>
    <rPh sb="12" eb="13">
      <t>スイ</t>
    </rPh>
    <phoneticPr fontId="6"/>
  </si>
  <si>
    <t>原
水
等
計</t>
    <rPh sb="0" eb="3">
      <t>ゲンスイ</t>
    </rPh>
    <rPh sb="4" eb="5">
      <t>トウ</t>
    </rPh>
    <rPh sb="6" eb="7">
      <t>ケイ</t>
    </rPh>
    <phoneticPr fontId="6"/>
  </si>
  <si>
    <t>原
水
＋
浄
水
過
程
水</t>
    <rPh sb="0" eb="5">
      <t>ゲンスイ</t>
    </rPh>
    <rPh sb="12" eb="17">
      <t>ジョウスイ</t>
    </rPh>
    <rPh sb="20" eb="29">
      <t>カテイスイ</t>
    </rPh>
    <phoneticPr fontId="6"/>
  </si>
  <si>
    <t>合計</t>
  </si>
  <si>
    <t>松本</t>
  </si>
  <si>
    <t>区　　分</t>
    <rPh sb="0" eb="4">
      <t>クブン</t>
    </rPh>
    <phoneticPr fontId="6"/>
  </si>
  <si>
    <t>３月</t>
  </si>
  <si>
    <t>２月</t>
  </si>
  <si>
    <t>１月</t>
  </si>
  <si>
    <t>１２月</t>
  </si>
  <si>
    <t>１１月</t>
  </si>
  <si>
    <t>１０月</t>
  </si>
  <si>
    <t>９月</t>
  </si>
  <si>
    <t>８月</t>
  </si>
  <si>
    <t>７月</t>
  </si>
  <si>
    <t>６月</t>
  </si>
  <si>
    <t>５月</t>
  </si>
  <si>
    <t>４月</t>
  </si>
  <si>
    <t>＊水道水は水道法第４条において、６つの要件（1病原生物に汚染されていないこと。2シアン、水銀その他の有毒物質を含まないこと。3銅、鉄、フッ素、フェノールその他の物質をその許容量を超えて含まないこと。4異常な酸性、アルカリ性を呈しないこと。5異常な臭味がないこと。ただし、消毒による臭味を除く。6外観は、ほとんど無色透明であること。）を備えるものでならないことを規定され、厚生労働省では、具体的に５１項目の水質検査を規定しています。</t>
    <rPh sb="1" eb="4">
      <t>スイドウスイ</t>
    </rPh>
    <rPh sb="5" eb="9">
      <t>スイドウホウダイ</t>
    </rPh>
    <rPh sb="10" eb="11">
      <t>ジョウ</t>
    </rPh>
    <rPh sb="19" eb="21">
      <t>ヨウケン</t>
    </rPh>
    <rPh sb="23" eb="25">
      <t>ビョウゲン</t>
    </rPh>
    <rPh sb="25" eb="27">
      <t>セイブツ</t>
    </rPh>
    <rPh sb="28" eb="30">
      <t>オセン</t>
    </rPh>
    <rPh sb="44" eb="46">
      <t>スイギン</t>
    </rPh>
    <rPh sb="48" eb="49">
      <t>タ</t>
    </rPh>
    <rPh sb="50" eb="52">
      <t>ユウドク</t>
    </rPh>
    <rPh sb="52" eb="54">
      <t>ブッシツ</t>
    </rPh>
    <rPh sb="55" eb="56">
      <t>フク</t>
    </rPh>
    <rPh sb="63" eb="64">
      <t>ドウ</t>
    </rPh>
    <rPh sb="65" eb="66">
      <t>テツ</t>
    </rPh>
    <rPh sb="69" eb="70">
      <t>ソ</t>
    </rPh>
    <rPh sb="78" eb="79">
      <t>タ</t>
    </rPh>
    <rPh sb="80" eb="82">
      <t>ブッシツ</t>
    </rPh>
    <rPh sb="85" eb="88">
      <t>キョヨウリョウ</t>
    </rPh>
    <rPh sb="89" eb="90">
      <t>コ</t>
    </rPh>
    <rPh sb="92" eb="93">
      <t>フク</t>
    </rPh>
    <rPh sb="100" eb="102">
      <t>イジョウ</t>
    </rPh>
    <rPh sb="103" eb="105">
      <t>サンセイ</t>
    </rPh>
    <rPh sb="110" eb="111">
      <t>セイ</t>
    </rPh>
    <rPh sb="112" eb="113">
      <t>テイ</t>
    </rPh>
    <rPh sb="120" eb="122">
      <t>イジョウ</t>
    </rPh>
    <rPh sb="123" eb="125">
      <t>シュウミ</t>
    </rPh>
    <rPh sb="135" eb="137">
      <t>ショウドク</t>
    </rPh>
    <rPh sb="140" eb="142">
      <t>シュウミ</t>
    </rPh>
    <rPh sb="143" eb="144">
      <t>ノゾ</t>
    </rPh>
    <rPh sb="147" eb="149">
      <t>ガイカン</t>
    </rPh>
    <rPh sb="155" eb="159">
      <t>ムショクトウメイ</t>
    </rPh>
    <rPh sb="167" eb="168">
      <t>ソナ</t>
    </rPh>
    <rPh sb="180" eb="182">
      <t>キテイ</t>
    </rPh>
    <rPh sb="185" eb="187">
      <t>コウセイ</t>
    </rPh>
    <rPh sb="187" eb="190">
      <t>ロウドウショウ</t>
    </rPh>
    <rPh sb="193" eb="196">
      <t>グタイテキ</t>
    </rPh>
    <rPh sb="199" eb="201">
      <t>コウモク</t>
    </rPh>
    <rPh sb="202" eb="204">
      <t>スイシツ</t>
    </rPh>
    <rPh sb="204" eb="206">
      <t>ケンサ</t>
    </rPh>
    <rPh sb="207" eb="209">
      <t>キテイ</t>
    </rPh>
    <phoneticPr fontId="6"/>
  </si>
  <si>
    <t>３２．水質検査状況</t>
    <rPh sb="3" eb="5">
      <t>スイシツ</t>
    </rPh>
    <rPh sb="5" eb="7">
      <t>ケンサ</t>
    </rPh>
    <rPh sb="7" eb="9">
      <t>ジョウキョウ</t>
    </rPh>
    <phoneticPr fontId="6"/>
  </si>
  <si>
    <t>３３．簡易専用水道検査状況</t>
    <rPh sb="3" eb="5">
      <t>カンイ</t>
    </rPh>
    <rPh sb="5" eb="7">
      <t>センヨウ</t>
    </rPh>
    <rPh sb="7" eb="9">
      <t>スイドウ</t>
    </rPh>
    <rPh sb="9" eb="11">
      <t>ケンサ</t>
    </rPh>
    <rPh sb="11" eb="13">
      <t>ジョウキョウ</t>
    </rPh>
    <phoneticPr fontId="6"/>
  </si>
  <si>
    <t>検査対象
施 設 数
Ａ</t>
    <rPh sb="0" eb="2">
      <t>ケンサ</t>
    </rPh>
    <rPh sb="2" eb="4">
      <t>タイショウ</t>
    </rPh>
    <rPh sb="5" eb="10">
      <t>シセツスウ</t>
    </rPh>
    <phoneticPr fontId="6"/>
  </si>
  <si>
    <t>検査実施
施 設 数
Ｂ</t>
    <rPh sb="0" eb="2">
      <t>ケンサ</t>
    </rPh>
    <rPh sb="2" eb="4">
      <t>ジッシ</t>
    </rPh>
    <rPh sb="5" eb="10">
      <t>シセツスウ</t>
    </rPh>
    <phoneticPr fontId="6"/>
  </si>
  <si>
    <t>受検率
（％）
Ｂ／Ａ</t>
    <rPh sb="0" eb="2">
      <t>ジュケン</t>
    </rPh>
    <rPh sb="2" eb="3">
      <t>リツ</t>
    </rPh>
    <phoneticPr fontId="6"/>
  </si>
  <si>
    <t>不適合
施設数
Ｃ</t>
    <rPh sb="0" eb="3">
      <t>フテキゴウ</t>
    </rPh>
    <rPh sb="4" eb="7">
      <t>シセツスウ</t>
    </rPh>
    <phoneticPr fontId="6"/>
  </si>
  <si>
    <t>不適合率
（％）
Ｃ／Ｂ</t>
    <rPh sb="0" eb="3">
      <t>フテキゴウ</t>
    </rPh>
    <rPh sb="3" eb="4">
      <t>リツ</t>
    </rPh>
    <phoneticPr fontId="6"/>
  </si>
  <si>
    <t>合 計</t>
    <rPh sb="0" eb="3">
      <t>ゴウケイ</t>
    </rPh>
    <phoneticPr fontId="6"/>
  </si>
  <si>
    <t>＊数値は各地域振興局管内の市町村の合算</t>
    <rPh sb="1" eb="3">
      <t>スウチ</t>
    </rPh>
    <rPh sb="4" eb="5">
      <t>カク</t>
    </rPh>
    <rPh sb="5" eb="7">
      <t>チイキ</t>
    </rPh>
    <rPh sb="7" eb="9">
      <t>シンコウ</t>
    </rPh>
    <rPh sb="9" eb="10">
      <t>キョク</t>
    </rPh>
    <rPh sb="10" eb="12">
      <t>カンナイ</t>
    </rPh>
    <rPh sb="13" eb="16">
      <t>シチョウソン</t>
    </rPh>
    <rPh sb="17" eb="19">
      <t>ガッサン</t>
    </rPh>
    <phoneticPr fontId="6"/>
  </si>
  <si>
    <t>(参考）所在地別集計</t>
    <rPh sb="1" eb="3">
      <t>サンコウ</t>
    </rPh>
    <rPh sb="4" eb="7">
      <t>ショザイチ</t>
    </rPh>
    <rPh sb="7" eb="8">
      <t>ベツ</t>
    </rPh>
    <rPh sb="8" eb="10">
      <t>シュウケイ</t>
    </rPh>
    <phoneticPr fontId="6"/>
  </si>
  <si>
    <t>市部</t>
    <rPh sb="0" eb="2">
      <t>シブ</t>
    </rPh>
    <phoneticPr fontId="6"/>
  </si>
  <si>
    <t>町村部</t>
    <rPh sb="0" eb="2">
      <t>チョウソン</t>
    </rPh>
    <rPh sb="2" eb="3">
      <t>ブ</t>
    </rPh>
    <phoneticPr fontId="6"/>
  </si>
  <si>
    <t>　○厚生労働大臣の登録を受けた水質検査機関（長野県を区域としている機関）</t>
    <rPh sb="2" eb="4">
      <t>コウセイ</t>
    </rPh>
    <rPh sb="4" eb="6">
      <t>ロウドウ</t>
    </rPh>
    <rPh sb="6" eb="8">
      <t>ダイジン</t>
    </rPh>
    <rPh sb="9" eb="11">
      <t>トウロク</t>
    </rPh>
    <rPh sb="12" eb="13">
      <t>ウ</t>
    </rPh>
    <rPh sb="15" eb="17">
      <t>スイシツ</t>
    </rPh>
    <rPh sb="17" eb="19">
      <t>ケンサ</t>
    </rPh>
    <rPh sb="19" eb="21">
      <t>キカン</t>
    </rPh>
    <rPh sb="22" eb="25">
      <t>ナガノケン</t>
    </rPh>
    <rPh sb="26" eb="28">
      <t>クイキ</t>
    </rPh>
    <rPh sb="33" eb="35">
      <t>キカン</t>
    </rPh>
    <phoneticPr fontId="6"/>
  </si>
  <si>
    <t>登録
番号</t>
    <rPh sb="0" eb="2">
      <t>トウロク</t>
    </rPh>
    <rPh sb="3" eb="5">
      <t>バンゴウ</t>
    </rPh>
    <phoneticPr fontId="6"/>
  </si>
  <si>
    <t>機関名</t>
    <rPh sb="0" eb="3">
      <t>キカンメイ</t>
    </rPh>
    <phoneticPr fontId="6"/>
  </si>
  <si>
    <t>連絡先</t>
    <rPh sb="0" eb="3">
      <t>レンラクサキ</t>
    </rPh>
    <phoneticPr fontId="6"/>
  </si>
  <si>
    <t>登録年月日</t>
    <rPh sb="0" eb="2">
      <t>トウロク</t>
    </rPh>
    <rPh sb="2" eb="5">
      <t>ネンガッピ</t>
    </rPh>
    <phoneticPr fontId="6"/>
  </si>
  <si>
    <t>　※「公益法人改革推進のための厚生労働省関係一括法」により、平成１６年４月１日から水道水質検査及び簡易専用水道の管理に関する検査について、指定機関による実施から登録機関による実施に改正されました。</t>
    <rPh sb="3" eb="5">
      <t>コウエキ</t>
    </rPh>
    <rPh sb="5" eb="7">
      <t>ホウジン</t>
    </rPh>
    <rPh sb="7" eb="9">
      <t>カイカク</t>
    </rPh>
    <rPh sb="9" eb="11">
      <t>スイシン</t>
    </rPh>
    <rPh sb="15" eb="17">
      <t>コウセイ</t>
    </rPh>
    <rPh sb="17" eb="20">
      <t>ロウドウショウ</t>
    </rPh>
    <rPh sb="20" eb="22">
      <t>カンケイ</t>
    </rPh>
    <rPh sb="22" eb="24">
      <t>イッカツ</t>
    </rPh>
    <rPh sb="24" eb="25">
      <t>ホウ</t>
    </rPh>
    <rPh sb="30" eb="32">
      <t>ヘイセイ</t>
    </rPh>
    <rPh sb="34" eb="35">
      <t>ネン</t>
    </rPh>
    <rPh sb="36" eb="37">
      <t>ツキ</t>
    </rPh>
    <rPh sb="38" eb="39">
      <t>ヒ</t>
    </rPh>
    <rPh sb="41" eb="43">
      <t>スイドウ</t>
    </rPh>
    <rPh sb="43" eb="45">
      <t>スイシツ</t>
    </rPh>
    <rPh sb="45" eb="47">
      <t>ケンサ</t>
    </rPh>
    <rPh sb="47" eb="48">
      <t>オヨ</t>
    </rPh>
    <rPh sb="49" eb="51">
      <t>カンイ</t>
    </rPh>
    <rPh sb="51" eb="53">
      <t>センヨウ</t>
    </rPh>
    <rPh sb="53" eb="55">
      <t>スイドウ</t>
    </rPh>
    <rPh sb="56" eb="58">
      <t>カンリ</t>
    </rPh>
    <rPh sb="59" eb="60">
      <t>カン</t>
    </rPh>
    <rPh sb="62" eb="64">
      <t>ケンサ</t>
    </rPh>
    <rPh sb="69" eb="71">
      <t>シテイ</t>
    </rPh>
    <rPh sb="71" eb="73">
      <t>キカン</t>
    </rPh>
    <rPh sb="76" eb="78">
      <t>ジッシ</t>
    </rPh>
    <rPh sb="80" eb="82">
      <t>トウロク</t>
    </rPh>
    <rPh sb="82" eb="84">
      <t>キカン</t>
    </rPh>
    <rPh sb="87" eb="89">
      <t>ジッシ</t>
    </rPh>
    <rPh sb="90" eb="92">
      <t>カイセイ</t>
    </rPh>
    <phoneticPr fontId="6"/>
  </si>
  <si>
    <t>（一社）群馬県薬剤師会</t>
    <rPh sb="1" eb="3">
      <t>イッシャ</t>
    </rPh>
    <rPh sb="4" eb="7">
      <t>グンマケン</t>
    </rPh>
    <rPh sb="7" eb="10">
      <t>ヤクザイシ</t>
    </rPh>
    <rPh sb="10" eb="11">
      <t>カイ</t>
    </rPh>
    <phoneticPr fontId="6"/>
  </si>
  <si>
    <t>　　　〒３７１－００１３　　　群馬県前橋市西片貝町５丁目１８番地の３６</t>
    <rPh sb="15" eb="18">
      <t>グンマケン</t>
    </rPh>
    <rPh sb="18" eb="21">
      <t>マエバシシ</t>
    </rPh>
    <rPh sb="21" eb="22">
      <t>ニシ</t>
    </rPh>
    <rPh sb="22" eb="23">
      <t>ヘン</t>
    </rPh>
    <rPh sb="23" eb="24">
      <t>カイ</t>
    </rPh>
    <rPh sb="24" eb="25">
      <t>マチ</t>
    </rPh>
    <rPh sb="26" eb="28">
      <t>チョウメ</t>
    </rPh>
    <rPh sb="30" eb="32">
      <t>バンチ</t>
    </rPh>
    <phoneticPr fontId="6"/>
  </si>
  <si>
    <t>（株）環境総合リサーチ</t>
    <rPh sb="0" eb="3">
      <t>カブ</t>
    </rPh>
    <rPh sb="3" eb="5">
      <t>カンキョウ</t>
    </rPh>
    <rPh sb="5" eb="7">
      <t>ソウゴウ</t>
    </rPh>
    <phoneticPr fontId="6"/>
  </si>
  <si>
    <t>　　　ＴＥＬ０２７－２２３－７７３６　　　ＦＡＸ０２７－２２３－５３０８</t>
    <phoneticPr fontId="6"/>
  </si>
  <si>
    <t>　　　ＴＥＬ０７７４－４１－０２００　　　ＦＡＸ０７７４－９５－６５１０</t>
    <phoneticPr fontId="6"/>
  </si>
  <si>
    <t>（一財）岐阜県公衆衛生検査センター</t>
    <rPh sb="1" eb="2">
      <t>イチ</t>
    </rPh>
    <rPh sb="2" eb="3">
      <t>ザイ</t>
    </rPh>
    <rPh sb="4" eb="6">
      <t>ギフ</t>
    </rPh>
    <rPh sb="6" eb="7">
      <t>ケン</t>
    </rPh>
    <rPh sb="7" eb="9">
      <t>コウシュウ</t>
    </rPh>
    <rPh sb="9" eb="11">
      <t>エイセイ</t>
    </rPh>
    <rPh sb="11" eb="13">
      <t>ケンサ</t>
    </rPh>
    <phoneticPr fontId="6"/>
  </si>
  <si>
    <t>　　　〒５００－８１４８　　　岐阜県岐阜市曙町４丁目６番地</t>
    <rPh sb="15" eb="18">
      <t>ギフケン</t>
    </rPh>
    <rPh sb="18" eb="20">
      <t>ギフ</t>
    </rPh>
    <rPh sb="20" eb="21">
      <t>シ</t>
    </rPh>
    <rPh sb="21" eb="23">
      <t>アケボノチョウ</t>
    </rPh>
    <rPh sb="24" eb="26">
      <t>チョウメ</t>
    </rPh>
    <rPh sb="27" eb="28">
      <t>バン</t>
    </rPh>
    <rPh sb="28" eb="29">
      <t>チ</t>
    </rPh>
    <phoneticPr fontId="6"/>
  </si>
  <si>
    <t>三菱ケミカルアクア・ソリューションズ（株）</t>
    <rPh sb="19" eb="20">
      <t>カブ</t>
    </rPh>
    <phoneticPr fontId="6"/>
  </si>
  <si>
    <t>　　　ＴＥＬ０５８－２４７－１３００　　　ＦＡＸ０５８－２４８－０２２９</t>
    <phoneticPr fontId="6"/>
  </si>
  <si>
    <t>（１）水道法第２０条関係</t>
    <rPh sb="3" eb="5">
      <t>スイドウ</t>
    </rPh>
    <rPh sb="5" eb="6">
      <t>ホウ</t>
    </rPh>
    <rPh sb="6" eb="7">
      <t>ダイ</t>
    </rPh>
    <rPh sb="9" eb="10">
      <t>ジョウ</t>
    </rPh>
    <rPh sb="10" eb="12">
      <t>カンケイ</t>
    </rPh>
    <phoneticPr fontId="6"/>
  </si>
  <si>
    <t>（一社）埼玉県環境検査研究協会</t>
    <rPh sb="1" eb="2">
      <t>イチ</t>
    </rPh>
    <rPh sb="2" eb="3">
      <t>シャ</t>
    </rPh>
    <rPh sb="4" eb="7">
      <t>サイタマケン</t>
    </rPh>
    <rPh sb="7" eb="9">
      <t>カンキョウ</t>
    </rPh>
    <rPh sb="9" eb="11">
      <t>ケンサ</t>
    </rPh>
    <rPh sb="11" eb="13">
      <t>ケンキュウ</t>
    </rPh>
    <rPh sb="13" eb="15">
      <t>キョウカイ</t>
    </rPh>
    <phoneticPr fontId="6"/>
  </si>
  <si>
    <t>　　　〒３３０－０８５５　　　埼玉県さいたま市大宮区上小町１４５０番地１１</t>
    <rPh sb="15" eb="18">
      <t>サイタマケン</t>
    </rPh>
    <rPh sb="22" eb="23">
      <t>シ</t>
    </rPh>
    <rPh sb="23" eb="25">
      <t>オオミヤ</t>
    </rPh>
    <rPh sb="25" eb="26">
      <t>ク</t>
    </rPh>
    <rPh sb="26" eb="27">
      <t>ジョウ</t>
    </rPh>
    <rPh sb="27" eb="28">
      <t>ショウ</t>
    </rPh>
    <rPh sb="28" eb="29">
      <t>マチ</t>
    </rPh>
    <rPh sb="33" eb="34">
      <t>バン</t>
    </rPh>
    <rPh sb="34" eb="35">
      <t>チ</t>
    </rPh>
    <phoneticPr fontId="6"/>
  </si>
  <si>
    <t>（株）安全性研究センター</t>
    <rPh sb="0" eb="3">
      <t>カブ</t>
    </rPh>
    <rPh sb="3" eb="6">
      <t>アンゼンセイ</t>
    </rPh>
    <rPh sb="6" eb="8">
      <t>ケンキュウ</t>
    </rPh>
    <phoneticPr fontId="6"/>
  </si>
  <si>
    <t>　　　〒９３０－０８０９　　　富山県富山市興人町２番６２号</t>
    <rPh sb="15" eb="18">
      <t>トヤマケン</t>
    </rPh>
    <rPh sb="18" eb="21">
      <t>トヤマシ</t>
    </rPh>
    <rPh sb="21" eb="22">
      <t>コウ</t>
    </rPh>
    <rPh sb="22" eb="23">
      <t>ジン</t>
    </rPh>
    <rPh sb="23" eb="24">
      <t>チョウ</t>
    </rPh>
    <rPh sb="25" eb="26">
      <t>バン</t>
    </rPh>
    <rPh sb="28" eb="29">
      <t>ゴウ</t>
    </rPh>
    <phoneticPr fontId="6"/>
  </si>
  <si>
    <t>　　　ＴＥＬ０４８－６４９－１１５１　　　ＦＡＸ０４８－６４９－５４９３</t>
    <phoneticPr fontId="6"/>
  </si>
  <si>
    <t>　　　ＴＥＬ０７６－４３１－６８１０　　　ＦＡＸ０７６－４３１－２８０９</t>
    <phoneticPr fontId="6"/>
  </si>
  <si>
    <t>　○市町村等の機関</t>
    <rPh sb="2" eb="5">
      <t>シチョウソン</t>
    </rPh>
    <rPh sb="5" eb="6">
      <t>ナド</t>
    </rPh>
    <rPh sb="7" eb="9">
      <t>キカン</t>
    </rPh>
    <phoneticPr fontId="6"/>
  </si>
  <si>
    <t>（株）ビー・エム・エル</t>
    <rPh sb="1" eb="2">
      <t>カブ</t>
    </rPh>
    <phoneticPr fontId="6"/>
  </si>
  <si>
    <t>　　　〒１５１－００５１　　　東京都渋谷区千駄ヶ谷５丁目２１番３号</t>
    <rPh sb="15" eb="18">
      <t>トウキョウト</t>
    </rPh>
    <rPh sb="18" eb="21">
      <t>シブヤク</t>
    </rPh>
    <rPh sb="21" eb="25">
      <t>センダガヤ</t>
    </rPh>
    <rPh sb="26" eb="28">
      <t>チョウメ</t>
    </rPh>
    <rPh sb="30" eb="31">
      <t>バン</t>
    </rPh>
    <rPh sb="32" eb="33">
      <t>ゴウ</t>
    </rPh>
    <phoneticPr fontId="6"/>
  </si>
  <si>
    <t>　　　ＴＥＬ０７６－２２４－２１２２　　　ＦＡＸ０７６－２２４－２１３２</t>
    <phoneticPr fontId="6"/>
  </si>
  <si>
    <t>　　　ＴＥＬ０３－３３５０－０１１１</t>
    <phoneticPr fontId="6"/>
  </si>
  <si>
    <t>長野県企業局</t>
    <rPh sb="0" eb="3">
      <t>ナガノケン</t>
    </rPh>
    <rPh sb="3" eb="6">
      <t>キギョウキョク</t>
    </rPh>
    <phoneticPr fontId="6"/>
  </si>
  <si>
    <t>０２６８－２２－２１１０</t>
    <phoneticPr fontId="6"/>
  </si>
  <si>
    <t>（一社）長野県薬剤師会</t>
    <rPh sb="1" eb="3">
      <t>イッシャ</t>
    </rPh>
    <rPh sb="4" eb="7">
      <t>ナガノケン</t>
    </rPh>
    <rPh sb="7" eb="10">
      <t>ヤクザイシ</t>
    </rPh>
    <rPh sb="10" eb="11">
      <t>カイ</t>
    </rPh>
    <phoneticPr fontId="6"/>
  </si>
  <si>
    <t>　　　〒３９０－０８０２　　　松本市旭２丁目１０番１５号</t>
    <rPh sb="15" eb="18">
      <t>マツモトシ</t>
    </rPh>
    <rPh sb="18" eb="19">
      <t>アサヒ</t>
    </rPh>
    <rPh sb="20" eb="22">
      <t>チョウメ</t>
    </rPh>
    <rPh sb="24" eb="25">
      <t>バン</t>
    </rPh>
    <rPh sb="27" eb="28">
      <t>ゴウ</t>
    </rPh>
    <phoneticPr fontId="6"/>
  </si>
  <si>
    <t>クリタ分析センター(株）</t>
    <rPh sb="3" eb="5">
      <t>ブンセキ</t>
    </rPh>
    <rPh sb="10" eb="11">
      <t>カブ</t>
    </rPh>
    <phoneticPr fontId="6"/>
  </si>
  <si>
    <t>　　　〒９３３－００６２　　　茨城県つくば市高野台２丁目８番１４号</t>
    <phoneticPr fontId="6"/>
  </si>
  <si>
    <t>(上田水道管理事務所）</t>
    <rPh sb="1" eb="3">
      <t>ウエダ</t>
    </rPh>
    <rPh sb="3" eb="5">
      <t>スイドウ</t>
    </rPh>
    <rPh sb="5" eb="7">
      <t>カンリ</t>
    </rPh>
    <rPh sb="7" eb="10">
      <t>ジムショ</t>
    </rPh>
    <phoneticPr fontId="6"/>
  </si>
  <si>
    <t>ＦＡＸ　　 ２２－２９９４</t>
    <phoneticPr fontId="6"/>
  </si>
  <si>
    <t>(松塩水道用水管理事務所）</t>
    <rPh sb="1" eb="2">
      <t>ショウ</t>
    </rPh>
    <rPh sb="2" eb="3">
      <t>エン</t>
    </rPh>
    <rPh sb="3" eb="5">
      <t>スイドウ</t>
    </rPh>
    <rPh sb="5" eb="7">
      <t>ヨウスイ</t>
    </rPh>
    <rPh sb="7" eb="9">
      <t>カンリ</t>
    </rPh>
    <rPh sb="9" eb="12">
      <t>ジムショ</t>
    </rPh>
    <phoneticPr fontId="6"/>
  </si>
  <si>
    <t>　　　ＴＥＬ０２６３－３４－５５１１　　　ＦＡＸ０２６３－３４－００７５</t>
    <phoneticPr fontId="6"/>
  </si>
  <si>
    <t>０２６３－５２－３３３０</t>
    <phoneticPr fontId="6"/>
  </si>
  <si>
    <t>（一社）長野市薬剤師会</t>
    <rPh sb="1" eb="3">
      <t>イッシャ</t>
    </rPh>
    <rPh sb="4" eb="7">
      <t>ナガノシ</t>
    </rPh>
    <rPh sb="7" eb="10">
      <t>ヤクザイシ</t>
    </rPh>
    <rPh sb="10" eb="11">
      <t>カイ</t>
    </rPh>
    <phoneticPr fontId="6"/>
  </si>
  <si>
    <t>ゼオンノース（株）</t>
    <rPh sb="7" eb="8">
      <t>カブ</t>
    </rPh>
    <phoneticPr fontId="6"/>
  </si>
  <si>
    <t>　　　〒９３３－００６２　　　富山県高岡市江尻３５１番地</t>
    <rPh sb="15" eb="18">
      <t>トヤマケン</t>
    </rPh>
    <rPh sb="18" eb="21">
      <t>タカオカシ</t>
    </rPh>
    <rPh sb="21" eb="23">
      <t>エジリ</t>
    </rPh>
    <rPh sb="26" eb="28">
      <t>バンチ</t>
    </rPh>
    <phoneticPr fontId="6"/>
  </si>
  <si>
    <t>ＦＡＸ　　 ５２－３３３１</t>
    <phoneticPr fontId="6"/>
  </si>
  <si>
    <t>（犀川浄水場）</t>
    <rPh sb="1" eb="3">
      <t>サイガワ</t>
    </rPh>
    <rPh sb="3" eb="6">
      <t>ジョウスイジョウ</t>
    </rPh>
    <phoneticPr fontId="6"/>
  </si>
  <si>
    <t>　　　ＴＥＬ０２６－２２７－３２２２　　　ＦＡＸ０２６－２２７－３８０６</t>
    <phoneticPr fontId="6"/>
  </si>
  <si>
    <t>　　　ＴＥＬ０７６６－２５－１１１１　　　ＦＡＸ０７６６－２５－１１１４</t>
    <phoneticPr fontId="6"/>
  </si>
  <si>
    <t>長野市上下水道局</t>
    <rPh sb="0" eb="3">
      <t>ナガノシ</t>
    </rPh>
    <rPh sb="3" eb="5">
      <t>ジョウゲ</t>
    </rPh>
    <rPh sb="5" eb="8">
      <t>スイドウキョク</t>
    </rPh>
    <phoneticPr fontId="6"/>
  </si>
  <si>
    <t>０２６－２２７－０６６９</t>
    <phoneticPr fontId="6"/>
  </si>
  <si>
    <t>（一社）上田薬剤師会</t>
    <rPh sb="1" eb="3">
      <t>イッシャ</t>
    </rPh>
    <rPh sb="4" eb="6">
      <t>ウエダ</t>
    </rPh>
    <rPh sb="6" eb="9">
      <t>ヤクザイシ</t>
    </rPh>
    <rPh sb="9" eb="10">
      <t>カイ</t>
    </rPh>
    <phoneticPr fontId="6"/>
  </si>
  <si>
    <t>　　　〒３８６－００１６　　　上田市国分９９４番地１</t>
    <rPh sb="15" eb="18">
      <t>ウエダシ</t>
    </rPh>
    <rPh sb="18" eb="20">
      <t>コクブン</t>
    </rPh>
    <rPh sb="23" eb="25">
      <t>バンチ</t>
    </rPh>
    <phoneticPr fontId="6"/>
  </si>
  <si>
    <t>（株）エオネックス</t>
    <phoneticPr fontId="6"/>
  </si>
  <si>
    <t>　　　〒９２０－０２０９　　　石川県金沢市東蚊瓜町１丁目１９番地４</t>
    <rPh sb="15" eb="18">
      <t>イシカワケン</t>
    </rPh>
    <rPh sb="18" eb="21">
      <t>カナザワシ</t>
    </rPh>
    <rPh sb="21" eb="22">
      <t>ヒガシ</t>
    </rPh>
    <rPh sb="22" eb="23">
      <t>カ</t>
    </rPh>
    <rPh sb="23" eb="24">
      <t>ウリ</t>
    </rPh>
    <rPh sb="24" eb="25">
      <t>マチ</t>
    </rPh>
    <rPh sb="26" eb="28">
      <t>チョウメ</t>
    </rPh>
    <rPh sb="30" eb="32">
      <t>バンチ</t>
    </rPh>
    <phoneticPr fontId="6"/>
  </si>
  <si>
    <t>ＦＡＸ　２２７－９１１４</t>
    <phoneticPr fontId="6"/>
  </si>
  <si>
    <t>（管理棟）</t>
    <rPh sb="1" eb="4">
      <t>カンリトウ</t>
    </rPh>
    <phoneticPr fontId="6"/>
  </si>
  <si>
    <t>　　　ＴＥＬ０２６８－２９－１１３２　　　ＦＡＸ０２６８－２９－１１５６</t>
    <phoneticPr fontId="6"/>
  </si>
  <si>
    <t>　　　ＴＥＬ０７６－２３８－１１８１　　　ＦＡＸ０７６－２３８－９７８１</t>
    <phoneticPr fontId="6"/>
  </si>
  <si>
    <t>松本市上下水道局</t>
    <rPh sb="0" eb="3">
      <t>マツモトシ</t>
    </rPh>
    <rPh sb="3" eb="5">
      <t>ジョウゲ</t>
    </rPh>
    <rPh sb="5" eb="8">
      <t>スイドウキョク</t>
    </rPh>
    <phoneticPr fontId="6"/>
  </si>
  <si>
    <t>０２６３－４８－６８３０</t>
    <phoneticPr fontId="6"/>
  </si>
  <si>
    <t>（一社）上伊那薬剤師会</t>
    <rPh sb="1" eb="3">
      <t>イッシャ</t>
    </rPh>
    <rPh sb="4" eb="7">
      <t>カミイナ</t>
    </rPh>
    <rPh sb="7" eb="10">
      <t>ヤクザイシ</t>
    </rPh>
    <rPh sb="10" eb="11">
      <t>カイ</t>
    </rPh>
    <phoneticPr fontId="6"/>
  </si>
  <si>
    <t>　　　〒３９６－００１１　　　伊那市日影９番地</t>
    <rPh sb="15" eb="18">
      <t>イナシ</t>
    </rPh>
    <phoneticPr fontId="6"/>
  </si>
  <si>
    <t>（株）新環境分析センター</t>
    <rPh sb="3" eb="6">
      <t>シンカンキョウ</t>
    </rPh>
    <rPh sb="6" eb="8">
      <t>ブンセキ</t>
    </rPh>
    <phoneticPr fontId="6"/>
  </si>
  <si>
    <t>　　　〒９５０－１１４４　　　新潟県新潟市江南区祖父輿野２６８番地１</t>
    <rPh sb="15" eb="18">
      <t>ニイガタケン</t>
    </rPh>
    <rPh sb="18" eb="21">
      <t>ニイガタシ</t>
    </rPh>
    <rPh sb="21" eb="23">
      <t>コウナン</t>
    </rPh>
    <rPh sb="23" eb="24">
      <t>ク</t>
    </rPh>
    <rPh sb="24" eb="26">
      <t>ソフ</t>
    </rPh>
    <rPh sb="26" eb="27">
      <t>コシ</t>
    </rPh>
    <rPh sb="27" eb="28">
      <t>ノ</t>
    </rPh>
    <rPh sb="31" eb="33">
      <t>バンチ</t>
    </rPh>
    <phoneticPr fontId="6"/>
  </si>
  <si>
    <t>ＦＡＸ　　 ４８－６８９０</t>
    <phoneticPr fontId="6"/>
  </si>
  <si>
    <t>水道水質検査協議会</t>
    <rPh sb="0" eb="2">
      <t>スイドウ</t>
    </rPh>
    <rPh sb="2" eb="4">
      <t>スイシツ</t>
    </rPh>
    <rPh sb="4" eb="6">
      <t>ケンサ</t>
    </rPh>
    <rPh sb="6" eb="9">
      <t>キョウギカイ</t>
    </rPh>
    <phoneticPr fontId="6"/>
  </si>
  <si>
    <t>　　　ＴＥＬ０２６５－７２－５８５７　　　ＦＡＸ０２６５－７３－７３２１</t>
    <phoneticPr fontId="6"/>
  </si>
  <si>
    <t>　　　ＴＥＬ０２５－２８４－６５０５　　　ＦＡＸ０２５－２８４－４４５５</t>
    <phoneticPr fontId="6"/>
  </si>
  <si>
    <t>佐久圏域</t>
    <rPh sb="0" eb="2">
      <t>サク</t>
    </rPh>
    <rPh sb="2" eb="4">
      <t>ケンイキ</t>
    </rPh>
    <phoneticPr fontId="6"/>
  </si>
  <si>
    <t>０２６７－６２－１１０７</t>
    <phoneticPr fontId="6"/>
  </si>
  <si>
    <t>（一財）中部公衆医学研究所</t>
    <rPh sb="1" eb="2">
      <t>イチ</t>
    </rPh>
    <rPh sb="2" eb="3">
      <t>ザイ</t>
    </rPh>
    <rPh sb="4" eb="6">
      <t>チュウブ</t>
    </rPh>
    <rPh sb="6" eb="8">
      <t>コウシュウ</t>
    </rPh>
    <rPh sb="8" eb="10">
      <t>イガク</t>
    </rPh>
    <rPh sb="10" eb="13">
      <t>ケンキュウショ</t>
    </rPh>
    <phoneticPr fontId="6"/>
  </si>
  <si>
    <t>　　　〒３９５－００５１　　　飯田市高羽町６丁目２番地２</t>
    <rPh sb="15" eb="18">
      <t>イイダシ</t>
    </rPh>
    <rPh sb="18" eb="21">
      <t>タカハチョウ</t>
    </rPh>
    <rPh sb="22" eb="24">
      <t>チョウメ</t>
    </rPh>
    <rPh sb="25" eb="27">
      <t>バンチ</t>
    </rPh>
    <phoneticPr fontId="6"/>
  </si>
  <si>
    <t>東海プラント（株）</t>
    <rPh sb="0" eb="2">
      <t>トウカイ</t>
    </rPh>
    <phoneticPr fontId="6"/>
  </si>
  <si>
    <t>　　　〒４１０－０８６１　　　静岡県沼津市真砂町２６７番地の２</t>
    <rPh sb="15" eb="18">
      <t>シズオカケン</t>
    </rPh>
    <rPh sb="18" eb="21">
      <t>ヌマヅシ</t>
    </rPh>
    <rPh sb="21" eb="23">
      <t>マサゴ</t>
    </rPh>
    <rPh sb="23" eb="24">
      <t>チョウ</t>
    </rPh>
    <rPh sb="27" eb="29">
      <t>バンチ</t>
    </rPh>
    <phoneticPr fontId="6"/>
  </si>
  <si>
    <t>ＦＡＸ　　 ６３－２２５６</t>
    <phoneticPr fontId="6"/>
  </si>
  <si>
    <t>(染屋浄水場）</t>
    <rPh sb="1" eb="2">
      <t>ソ</t>
    </rPh>
    <rPh sb="2" eb="3">
      <t>ヤ</t>
    </rPh>
    <rPh sb="3" eb="6">
      <t>ジョウスイジョウ</t>
    </rPh>
    <phoneticPr fontId="6"/>
  </si>
  <si>
    <t>　　　ＴＥＬ０２６５－２４－１７７７　　　ＦＡＸ０２６５－２４－２３３０</t>
    <phoneticPr fontId="6"/>
  </si>
  <si>
    <t>　　　ＴＥＬ０５５－９５１－５２４０　　　　</t>
    <phoneticPr fontId="6"/>
  </si>
  <si>
    <t>上伊那圏域</t>
    <rPh sb="0" eb="3">
      <t>カミイナ</t>
    </rPh>
    <rPh sb="3" eb="5">
      <t>ケンイキ</t>
    </rPh>
    <phoneticPr fontId="6"/>
  </si>
  <si>
    <t>０２６５－７９－１１３１</t>
    <phoneticPr fontId="6"/>
  </si>
  <si>
    <t>（一財）新潟県環境衛生研究所</t>
    <rPh sb="1" eb="2">
      <t>イチ</t>
    </rPh>
    <rPh sb="2" eb="3">
      <t>ザイ</t>
    </rPh>
    <rPh sb="4" eb="7">
      <t>ニイガタケン</t>
    </rPh>
    <rPh sb="7" eb="9">
      <t>カンキョウ</t>
    </rPh>
    <rPh sb="9" eb="11">
      <t>エイセイ</t>
    </rPh>
    <rPh sb="11" eb="14">
      <t>ケンキュウショ</t>
    </rPh>
    <phoneticPr fontId="6"/>
  </si>
  <si>
    <t>　　　〒９５９－０２３２　　　新潟県燕市吉田東栄町８番１３号</t>
    <rPh sb="15" eb="18">
      <t>ニイガタケン</t>
    </rPh>
    <rPh sb="18" eb="20">
      <t>ツバメシ</t>
    </rPh>
    <rPh sb="20" eb="22">
      <t>ヨシダ</t>
    </rPh>
    <rPh sb="22" eb="25">
      <t>トウエイチョウ</t>
    </rPh>
    <rPh sb="26" eb="27">
      <t>バン</t>
    </rPh>
    <rPh sb="29" eb="30">
      <t>ゴウ</t>
    </rPh>
    <phoneticPr fontId="6"/>
  </si>
  <si>
    <t>（株）環境技研</t>
    <rPh sb="3" eb="5">
      <t>カンキョウ</t>
    </rPh>
    <rPh sb="5" eb="7">
      <t>ギケン</t>
    </rPh>
    <phoneticPr fontId="6"/>
  </si>
  <si>
    <t>水道水質管理協議会</t>
    <rPh sb="0" eb="2">
      <t>スイドウ</t>
    </rPh>
    <rPh sb="2" eb="4">
      <t>スイシツ</t>
    </rPh>
    <rPh sb="4" eb="6">
      <t>カンリ</t>
    </rPh>
    <rPh sb="6" eb="9">
      <t>キョウギカイ</t>
    </rPh>
    <phoneticPr fontId="6"/>
  </si>
  <si>
    <t>ＦＡＸ　　 ７９－１１３０</t>
    <phoneticPr fontId="6"/>
  </si>
  <si>
    <t>　　　ＴＥＬ０２５６－９３－４５０９　　　ＦＡＸ０２５６－９２－６８９９</t>
    <phoneticPr fontId="6"/>
  </si>
  <si>
    <t>　　　ＴＥＬ０２７－３７２－５１１１　　　ＦＡＸ０２７－３７２－５００１</t>
    <phoneticPr fontId="6"/>
  </si>
  <si>
    <t>上田市上下水道局</t>
    <rPh sb="0" eb="3">
      <t>ウエダシ</t>
    </rPh>
    <rPh sb="3" eb="5">
      <t>ジョウゲ</t>
    </rPh>
    <rPh sb="5" eb="8">
      <t>スイドウキョク</t>
    </rPh>
    <phoneticPr fontId="6"/>
  </si>
  <si>
    <t>０２６８－２２－０６５８</t>
    <phoneticPr fontId="6"/>
  </si>
  <si>
    <t>（一社）新潟県環境衛生中央研究所</t>
    <rPh sb="1" eb="2">
      <t>イチ</t>
    </rPh>
    <rPh sb="2" eb="3">
      <t>シャ</t>
    </rPh>
    <rPh sb="4" eb="7">
      <t>ニイガタケン</t>
    </rPh>
    <rPh sb="7" eb="9">
      <t>カンキョウ</t>
    </rPh>
    <rPh sb="9" eb="11">
      <t>エイセイ</t>
    </rPh>
    <rPh sb="11" eb="13">
      <t>チュウオウ</t>
    </rPh>
    <rPh sb="13" eb="16">
      <t>ケンキュウショ</t>
    </rPh>
    <phoneticPr fontId="6"/>
  </si>
  <si>
    <t>　　　〒９４０－２１２７　　　新潟県長岡市新産２丁目１２番地７</t>
    <rPh sb="15" eb="18">
      <t>ニイガタケン</t>
    </rPh>
    <rPh sb="18" eb="21">
      <t>ナガオカシ</t>
    </rPh>
    <rPh sb="21" eb="22">
      <t>シン</t>
    </rPh>
    <rPh sb="22" eb="23">
      <t>サン</t>
    </rPh>
    <rPh sb="23" eb="26">
      <t>ニチョウメ</t>
    </rPh>
    <rPh sb="27" eb="30">
      <t>ニバンチ</t>
    </rPh>
    <phoneticPr fontId="6"/>
  </si>
  <si>
    <t>（株）ケイ・エス分析センター</t>
    <rPh sb="8" eb="10">
      <t>ブンセキ</t>
    </rPh>
    <phoneticPr fontId="6"/>
  </si>
  <si>
    <t>ＦＡＸ　　 ２２－１９７９</t>
    <phoneticPr fontId="6"/>
  </si>
  <si>
    <t>　　　ＴＥＬ０２５８－４６－７１５１　　　ＦＡＸ０２５８－４６－９８５１</t>
    <phoneticPr fontId="6"/>
  </si>
  <si>
    <t>　　　ＴＥＬ０７２１－２０－５６１１　　　ＦＡＸ０７２１－２０－５５８０　</t>
    <phoneticPr fontId="6"/>
  </si>
  <si>
    <t>（一財）上越環境科学センター</t>
    <rPh sb="1" eb="2">
      <t>イチ</t>
    </rPh>
    <rPh sb="2" eb="3">
      <t>ザイ</t>
    </rPh>
    <rPh sb="4" eb="6">
      <t>ジョウエツ</t>
    </rPh>
    <rPh sb="6" eb="8">
      <t>カンキョウ</t>
    </rPh>
    <rPh sb="8" eb="10">
      <t>カガク</t>
    </rPh>
    <phoneticPr fontId="6"/>
  </si>
  <si>
    <t>　　　〒９４２－００６３　　　新潟県上越市下門前１６６６番地</t>
    <rPh sb="15" eb="18">
      <t>ニイガタケン</t>
    </rPh>
    <rPh sb="18" eb="20">
      <t>ジョウエツ</t>
    </rPh>
    <rPh sb="20" eb="21">
      <t>シ</t>
    </rPh>
    <rPh sb="21" eb="22">
      <t>シタ</t>
    </rPh>
    <rPh sb="22" eb="23">
      <t>モン</t>
    </rPh>
    <rPh sb="23" eb="24">
      <t>マエ</t>
    </rPh>
    <rPh sb="28" eb="30">
      <t>バンチ</t>
    </rPh>
    <phoneticPr fontId="6"/>
  </si>
  <si>
    <t>（株）総合環境分析</t>
    <rPh sb="3" eb="5">
      <t>ソウゴウ</t>
    </rPh>
    <rPh sb="5" eb="7">
      <t>カンキョウ</t>
    </rPh>
    <rPh sb="7" eb="9">
      <t>ブンセキ</t>
    </rPh>
    <phoneticPr fontId="6"/>
  </si>
  <si>
    <t>　　　〒２２６－０００３　　　神奈川県横浜市緑区鴨居１丁目１３番２号</t>
    <rPh sb="15" eb="19">
      <t>カナガワケン</t>
    </rPh>
    <rPh sb="19" eb="22">
      <t>ヨコハマシ</t>
    </rPh>
    <rPh sb="22" eb="24">
      <t>ミドリク</t>
    </rPh>
    <rPh sb="24" eb="25">
      <t>カモ</t>
    </rPh>
    <rPh sb="25" eb="26">
      <t>イ</t>
    </rPh>
    <rPh sb="27" eb="29">
      <t>チョウメ</t>
    </rPh>
    <rPh sb="31" eb="32">
      <t>バン</t>
    </rPh>
    <rPh sb="33" eb="34">
      <t>ゴウ</t>
    </rPh>
    <phoneticPr fontId="6"/>
  </si>
  <si>
    <t>　　　ＴＥＬ０２５－５４３－７６６４　　　ＦＡＸ０２５－５４３－７８８２</t>
    <phoneticPr fontId="6"/>
  </si>
  <si>
    <t>　　　ＴＥＬ０４５－９２９－００３３　　　ＦＡＸ０４５－９２９－００３９</t>
    <phoneticPr fontId="6"/>
  </si>
  <si>
    <t>（一社）山梨県食品衛生協会</t>
    <rPh sb="1" eb="3">
      <t>イッシャ</t>
    </rPh>
    <rPh sb="4" eb="7">
      <t>ヤマナシケン</t>
    </rPh>
    <rPh sb="7" eb="9">
      <t>ショクヒン</t>
    </rPh>
    <rPh sb="9" eb="11">
      <t>エイセイ</t>
    </rPh>
    <rPh sb="11" eb="13">
      <t>キョウカイ</t>
    </rPh>
    <phoneticPr fontId="6"/>
  </si>
  <si>
    <t>　　　〒４００－００８６　　　山梨県甲府市小瀬町１１４５番地１</t>
    <rPh sb="15" eb="18">
      <t>ヤマナシケン</t>
    </rPh>
    <rPh sb="18" eb="21">
      <t>コウフシ</t>
    </rPh>
    <rPh sb="21" eb="22">
      <t>ショウ</t>
    </rPh>
    <rPh sb="22" eb="23">
      <t>セ</t>
    </rPh>
    <rPh sb="23" eb="24">
      <t>マチ</t>
    </rPh>
    <rPh sb="28" eb="30">
      <t>バンチ</t>
    </rPh>
    <phoneticPr fontId="6"/>
  </si>
  <si>
    <t>（株）環境計量センター</t>
    <rPh sb="3" eb="5">
      <t>カンキョウ</t>
    </rPh>
    <rPh sb="5" eb="7">
      <t>ケイリョウ</t>
    </rPh>
    <phoneticPr fontId="6"/>
  </si>
  <si>
    <t>　　　〒４２１－０１１３　　　静岡県静岡市駿河区下川原１丁目１５番１５号</t>
    <phoneticPr fontId="6"/>
  </si>
  <si>
    <t>　　　ＴＥＬ０５５－２４２－０８８０　　　ＦＡＸ０５５－２４２－０８８１</t>
    <phoneticPr fontId="6"/>
  </si>
  <si>
    <t>（一社）県央研究所</t>
    <rPh sb="1" eb="3">
      <t>イッシャ</t>
    </rPh>
    <rPh sb="4" eb="5">
      <t>ケン</t>
    </rPh>
    <rPh sb="5" eb="6">
      <t>オウ</t>
    </rPh>
    <rPh sb="6" eb="9">
      <t>ケンキュウショ</t>
    </rPh>
    <phoneticPr fontId="6"/>
  </si>
  <si>
    <t>（株）日本環境技術センター</t>
    <rPh sb="3" eb="5">
      <t>ニホン</t>
    </rPh>
    <rPh sb="5" eb="7">
      <t>カンキョウ</t>
    </rPh>
    <rPh sb="7" eb="9">
      <t>ギジュツ</t>
    </rPh>
    <phoneticPr fontId="6"/>
  </si>
  <si>
    <t>　　　〒４９１－００７６　　　愛知県一宮市貴船町３丁目５番地２</t>
    <phoneticPr fontId="6"/>
  </si>
  <si>
    <t>（株）コーエキ</t>
    <rPh sb="0" eb="3">
      <t>カブ</t>
    </rPh>
    <phoneticPr fontId="6"/>
  </si>
  <si>
    <t>　　　〒３９４－００３１　　　岡谷市田中町３丁目３番２４号</t>
    <rPh sb="15" eb="18">
      <t>オカヤシ</t>
    </rPh>
    <rPh sb="18" eb="21">
      <t>タナカマチ</t>
    </rPh>
    <rPh sb="22" eb="24">
      <t>チョウメ</t>
    </rPh>
    <rPh sb="25" eb="26">
      <t>バン</t>
    </rPh>
    <rPh sb="28" eb="29">
      <t>ゴウ</t>
    </rPh>
    <phoneticPr fontId="6"/>
  </si>
  <si>
    <t>（株）イオ</t>
    <rPh sb="1" eb="2">
      <t>カブ</t>
    </rPh>
    <phoneticPr fontId="6"/>
  </si>
  <si>
    <t>　　　〒１９１－００６５　　　東京都日野市旭が丘４丁目７番地１０７</t>
    <rPh sb="25" eb="27">
      <t>チョウメ</t>
    </rPh>
    <rPh sb="28" eb="30">
      <t>バンチ</t>
    </rPh>
    <phoneticPr fontId="6"/>
  </si>
  <si>
    <t>　　　ＴＥＬ０２６６－２３－２１５５　　　ＦＡＸ０２６６－２３－０７３３</t>
    <phoneticPr fontId="6"/>
  </si>
  <si>
    <t>（株）エヌ・イーサポート</t>
    <rPh sb="0" eb="3">
      <t>カブ</t>
    </rPh>
    <phoneticPr fontId="6"/>
  </si>
  <si>
    <t>（株）テクノサイエンス</t>
    <rPh sb="1" eb="2">
      <t>カブ</t>
    </rPh>
    <phoneticPr fontId="6"/>
  </si>
  <si>
    <t>（株）江東微生物研究所</t>
    <rPh sb="0" eb="3">
      <t>カブ</t>
    </rPh>
    <rPh sb="3" eb="5">
      <t>コウトウ</t>
    </rPh>
    <rPh sb="5" eb="8">
      <t>ビセイブツ</t>
    </rPh>
    <rPh sb="8" eb="11">
      <t>ケンキュウショ</t>
    </rPh>
    <phoneticPr fontId="6"/>
  </si>
  <si>
    <t>　　　〒１３３－００５７　　　東京都江戸川区西小岩５丁目１８番６号</t>
    <rPh sb="15" eb="18">
      <t>トウキョウト</t>
    </rPh>
    <rPh sb="18" eb="22">
      <t>エドガワク</t>
    </rPh>
    <rPh sb="22" eb="25">
      <t>ニシコイワ</t>
    </rPh>
    <rPh sb="26" eb="28">
      <t>チョウメ</t>
    </rPh>
    <rPh sb="30" eb="31">
      <t>バン</t>
    </rPh>
    <rPh sb="32" eb="33">
      <t>ゴウ</t>
    </rPh>
    <phoneticPr fontId="6"/>
  </si>
  <si>
    <t>ヴェオリア・ジェネッツ（株）</t>
    <rPh sb="12" eb="13">
      <t>カブ</t>
    </rPh>
    <phoneticPr fontId="6"/>
  </si>
  <si>
    <r>
      <t>　　　〒１０８－００２２　　　</t>
    </r>
    <r>
      <rPr>
        <sz val="8"/>
        <rFont val="ＭＳ Ｐゴシック"/>
        <family val="3"/>
        <charset val="128"/>
      </rPr>
      <t>東京都港区海岸３丁目２０番２０号ヨコソーレインボータワー</t>
    </r>
    <rPh sb="18" eb="19">
      <t>ミナト</t>
    </rPh>
    <rPh sb="20" eb="22">
      <t>カイガン</t>
    </rPh>
    <rPh sb="23" eb="25">
      <t>チョウメ</t>
    </rPh>
    <rPh sb="27" eb="28">
      <t>バン</t>
    </rPh>
    <rPh sb="30" eb="31">
      <t>ゴウ</t>
    </rPh>
    <phoneticPr fontId="6"/>
  </si>
  <si>
    <t>　　　ＴＥＬ０３－３６７２－９１７１　　　ＦＡＸ０３－３６５０－８５０１</t>
    <phoneticPr fontId="6"/>
  </si>
  <si>
    <t>（株）環境公害センター</t>
    <rPh sb="0" eb="3">
      <t>カブ</t>
    </rPh>
    <rPh sb="3" eb="5">
      <t>カンキョウ</t>
    </rPh>
    <rPh sb="5" eb="7">
      <t>コウガイ</t>
    </rPh>
    <phoneticPr fontId="6"/>
  </si>
  <si>
    <t>　　　〒４６３－０８０８　　　愛知県名古屋市守山区花咲台２丁目２０１番地</t>
    <rPh sb="15" eb="18">
      <t>アイチケン</t>
    </rPh>
    <rPh sb="18" eb="22">
      <t>ナゴヤシ</t>
    </rPh>
    <phoneticPr fontId="6"/>
  </si>
  <si>
    <t>中央環境理研（株）</t>
    <rPh sb="0" eb="2">
      <t>チュウオウ</t>
    </rPh>
    <rPh sb="2" eb="4">
      <t>カンキョウ</t>
    </rPh>
    <rPh sb="4" eb="6">
      <t>リケン</t>
    </rPh>
    <rPh sb="7" eb="8">
      <t>カブ</t>
    </rPh>
    <phoneticPr fontId="6"/>
  </si>
  <si>
    <t>　　　ＴＥＬ０５２－７３９－１３５０　　　ＦＡＸ０５２－７３９－１３５６　　</t>
    <phoneticPr fontId="6"/>
  </si>
  <si>
    <t>　　　ＴＥＬ０５５－２８３－６１５５　　　ＦＡＸ０５５－２８６－２０７５</t>
    <phoneticPr fontId="6"/>
  </si>
  <si>
    <t>（株）環境科学研究所</t>
    <rPh sb="0" eb="3">
      <t>カブ</t>
    </rPh>
    <rPh sb="3" eb="5">
      <t>カンキョウ</t>
    </rPh>
    <rPh sb="5" eb="6">
      <t>カ</t>
    </rPh>
    <rPh sb="6" eb="7">
      <t>ガク</t>
    </rPh>
    <rPh sb="7" eb="10">
      <t>ケンキュウジョ</t>
    </rPh>
    <phoneticPr fontId="6"/>
  </si>
  <si>
    <t>　　　〒４６２－０００６　　　愛知県名古屋市北区若鶴町１５２番地</t>
    <rPh sb="15" eb="18">
      <t>アイチケン</t>
    </rPh>
    <rPh sb="18" eb="22">
      <t>ナゴヤシ</t>
    </rPh>
    <rPh sb="22" eb="23">
      <t>キタ</t>
    </rPh>
    <rPh sb="23" eb="24">
      <t>ク</t>
    </rPh>
    <rPh sb="24" eb="27">
      <t>ワカヅルチョウ</t>
    </rPh>
    <rPh sb="30" eb="32">
      <t>バンチ</t>
    </rPh>
    <phoneticPr fontId="6"/>
  </si>
  <si>
    <t>（株）エステム</t>
    <rPh sb="1" eb="2">
      <t>カブ</t>
    </rPh>
    <phoneticPr fontId="6"/>
  </si>
  <si>
    <r>
      <t>　　　〒４５７－０８２１　　　</t>
    </r>
    <r>
      <rPr>
        <sz val="9"/>
        <rFont val="ＭＳ Ｐゴシック"/>
        <family val="3"/>
        <charset val="128"/>
      </rPr>
      <t>愛知県名古屋市南区弥次ヱ町二丁目１９番地の１</t>
    </r>
    <rPh sb="15" eb="18">
      <t>アイチケン</t>
    </rPh>
    <rPh sb="18" eb="22">
      <t>ナゴヤシ</t>
    </rPh>
    <rPh sb="22" eb="24">
      <t>ミナミク</t>
    </rPh>
    <rPh sb="28" eb="31">
      <t>ニチョウメ</t>
    </rPh>
    <rPh sb="33" eb="35">
      <t>バンチ</t>
    </rPh>
    <phoneticPr fontId="6"/>
  </si>
  <si>
    <t>　　　ＴＥＬ０５２－９０２－４４５６　　　ＦＡＸ０５２－９０２－４６０１</t>
    <phoneticPr fontId="6"/>
  </si>
  <si>
    <t>（株）信濃公害研究所</t>
    <rPh sb="0" eb="3">
      <t>カブ</t>
    </rPh>
    <rPh sb="3" eb="5">
      <t>シナノ</t>
    </rPh>
    <rPh sb="5" eb="7">
      <t>コウガイ</t>
    </rPh>
    <rPh sb="7" eb="10">
      <t>ケンキュウショ</t>
    </rPh>
    <phoneticPr fontId="6"/>
  </si>
  <si>
    <t>　　　〒３８４－２３０５　　　北佐久郡立科町大字芦田１８３５番地１</t>
    <rPh sb="15" eb="19">
      <t>キタサクグン</t>
    </rPh>
    <rPh sb="19" eb="22">
      <t>タテシナマチ</t>
    </rPh>
    <rPh sb="22" eb="24">
      <t>オオアザ</t>
    </rPh>
    <rPh sb="24" eb="26">
      <t>アシダ</t>
    </rPh>
    <rPh sb="30" eb="32">
      <t>バンチ</t>
    </rPh>
    <phoneticPr fontId="6"/>
  </si>
  <si>
    <t>　　　ＴＥＬ０２６７－５６－２１８９　　　ＦＡＸ０２６７－５６－１８４３</t>
    <phoneticPr fontId="6"/>
  </si>
  <si>
    <t>（２）水道法第３４条の２関係</t>
    <rPh sb="3" eb="5">
      <t>スイドウ</t>
    </rPh>
    <rPh sb="5" eb="6">
      <t>ホウ</t>
    </rPh>
    <rPh sb="6" eb="7">
      <t>ダイ</t>
    </rPh>
    <rPh sb="9" eb="10">
      <t>ジョウ</t>
    </rPh>
    <rPh sb="12" eb="14">
      <t>カンケイ</t>
    </rPh>
    <phoneticPr fontId="6"/>
  </si>
  <si>
    <t>（株）群馬分析センター</t>
    <rPh sb="0" eb="3">
      <t>カブ</t>
    </rPh>
    <rPh sb="3" eb="5">
      <t>グンマ</t>
    </rPh>
    <rPh sb="5" eb="7">
      <t>ブンセキ</t>
    </rPh>
    <phoneticPr fontId="6"/>
  </si>
  <si>
    <t>　○厚生労働大臣の登録を受けた簡易専用水道　検査機関（長野県を区域としている機関）</t>
    <rPh sb="2" eb="4">
      <t>コウセイ</t>
    </rPh>
    <rPh sb="4" eb="6">
      <t>ロウドウ</t>
    </rPh>
    <rPh sb="6" eb="8">
      <t>ダイジン</t>
    </rPh>
    <rPh sb="9" eb="11">
      <t>トウロク</t>
    </rPh>
    <rPh sb="12" eb="13">
      <t>ウ</t>
    </rPh>
    <rPh sb="15" eb="17">
      <t>カンイ</t>
    </rPh>
    <rPh sb="17" eb="19">
      <t>センヨウ</t>
    </rPh>
    <rPh sb="19" eb="21">
      <t>スイドウ</t>
    </rPh>
    <rPh sb="22" eb="24">
      <t>ケンサ</t>
    </rPh>
    <rPh sb="24" eb="26">
      <t>キカン</t>
    </rPh>
    <rPh sb="27" eb="30">
      <t>ナガノケン</t>
    </rPh>
    <rPh sb="31" eb="33">
      <t>クイキ</t>
    </rPh>
    <rPh sb="38" eb="40">
      <t>キカン</t>
    </rPh>
    <phoneticPr fontId="6"/>
  </si>
  <si>
    <t>　　　ＴＥＬ０２７－３９５－０６０６　　　ＦＡＸ０２７－３９５－０６０７</t>
    <phoneticPr fontId="6"/>
  </si>
  <si>
    <t>環境未来（株）</t>
    <rPh sb="0" eb="2">
      <t>カンキョウ</t>
    </rPh>
    <rPh sb="2" eb="4">
      <t>ミライ</t>
    </rPh>
    <rPh sb="4" eb="7">
      <t>カブ</t>
    </rPh>
    <phoneticPr fontId="6"/>
  </si>
  <si>
    <t>（一社）群馬県薬剤師会</t>
    <rPh sb="1" eb="2">
      <t>イチ</t>
    </rPh>
    <rPh sb="2" eb="3">
      <t>シャ</t>
    </rPh>
    <rPh sb="4" eb="7">
      <t>グンマケン</t>
    </rPh>
    <rPh sb="7" eb="10">
      <t>ヤクザイシ</t>
    </rPh>
    <rPh sb="10" eb="11">
      <t>カイ</t>
    </rPh>
    <phoneticPr fontId="6"/>
  </si>
  <si>
    <t>　　　ＴＥＬ０２６３－８８－３９１１　　　ＦＡＸ０２６３－８８－３３６６</t>
    <phoneticPr fontId="6"/>
  </si>
  <si>
    <t>　　　ＴＥＬ０２７－２２３－７７３６　　  ＦＡＸ０２７－２２３－５３０８　</t>
    <phoneticPr fontId="6"/>
  </si>
  <si>
    <t>（株）科学技術開発センター</t>
    <rPh sb="0" eb="3">
      <t>カブ</t>
    </rPh>
    <rPh sb="3" eb="5">
      <t>カガク</t>
    </rPh>
    <rPh sb="5" eb="7">
      <t>ギジュツ</t>
    </rPh>
    <rPh sb="7" eb="9">
      <t>カイハツ</t>
    </rPh>
    <phoneticPr fontId="6"/>
  </si>
  <si>
    <t>　　　〒３８１－００２５　　　長野市大字北長池字南長池境２０５８番地３　</t>
    <rPh sb="15" eb="18">
      <t>ナガノシ</t>
    </rPh>
    <rPh sb="18" eb="20">
      <t>オオアザ</t>
    </rPh>
    <rPh sb="20" eb="23">
      <t>キタナガイケ</t>
    </rPh>
    <rPh sb="23" eb="24">
      <t>アザ</t>
    </rPh>
    <rPh sb="24" eb="25">
      <t>ミナミ</t>
    </rPh>
    <rPh sb="25" eb="27">
      <t>ナガイケ</t>
    </rPh>
    <rPh sb="27" eb="28">
      <t>サカイ</t>
    </rPh>
    <rPh sb="32" eb="34">
      <t>バンチ</t>
    </rPh>
    <phoneticPr fontId="6"/>
  </si>
  <si>
    <t>　　　ＴＥＬ０２６－２６３－２０１０　　　ＦＡＸ０２６－２６３－２０１２</t>
    <phoneticPr fontId="6"/>
  </si>
  <si>
    <t>　　　ＴＥＬ０５８－２４７－１３００　　　ＦＡＸ０５８－２４８－０２２９　</t>
    <phoneticPr fontId="6"/>
  </si>
  <si>
    <t>（株）環境技術センター</t>
    <rPh sb="0" eb="3">
      <t>カブ</t>
    </rPh>
    <rPh sb="3" eb="5">
      <t>カンキョウ</t>
    </rPh>
    <rPh sb="5" eb="7">
      <t>ギジュツ</t>
    </rPh>
    <phoneticPr fontId="6"/>
  </si>
  <si>
    <t>　　　〒３９９－００３３　　　松本市大字笹賀５６５２番地１６６</t>
    <rPh sb="15" eb="18">
      <t>マツモトシ</t>
    </rPh>
    <rPh sb="18" eb="20">
      <t>オオアザ</t>
    </rPh>
    <rPh sb="20" eb="21">
      <t>ササ</t>
    </rPh>
    <rPh sb="21" eb="22">
      <t>ガ</t>
    </rPh>
    <rPh sb="26" eb="28">
      <t>バンチ</t>
    </rPh>
    <phoneticPr fontId="6"/>
  </si>
  <si>
    <t>　　　ＴＥＬ０２６３－２７－１６０６　　　ＦＡＸ０２６３－２７－２１３３</t>
    <phoneticPr fontId="6"/>
  </si>
  <si>
    <t>　　　ＴＥＬ０２５５－４３－７６６４　　　ＦＡＸ０２５５－４３－７８８２</t>
    <phoneticPr fontId="6"/>
  </si>
  <si>
    <t>（株）総合保健センター</t>
    <rPh sb="0" eb="3">
      <t>カブ</t>
    </rPh>
    <rPh sb="3" eb="5">
      <t>ソウゴウ</t>
    </rPh>
    <rPh sb="5" eb="7">
      <t>ホケン</t>
    </rPh>
    <phoneticPr fontId="6"/>
  </si>
  <si>
    <t>　　　〒５０９－０２０１　　　岐阜県可児市川合１３６番地８</t>
    <rPh sb="15" eb="18">
      <t>ギフケン</t>
    </rPh>
    <rPh sb="18" eb="21">
      <t>カニシ</t>
    </rPh>
    <rPh sb="21" eb="23">
      <t>カワイ</t>
    </rPh>
    <rPh sb="26" eb="27">
      <t>バン</t>
    </rPh>
    <rPh sb="27" eb="28">
      <t>チ</t>
    </rPh>
    <phoneticPr fontId="6"/>
  </si>
  <si>
    <t>（一社）長野県薬剤師会</t>
    <rPh sb="1" eb="2">
      <t>イチ</t>
    </rPh>
    <rPh sb="2" eb="3">
      <t>シャ</t>
    </rPh>
    <rPh sb="4" eb="7">
      <t>ナガノケン</t>
    </rPh>
    <rPh sb="7" eb="10">
      <t>ヤクザイシ</t>
    </rPh>
    <rPh sb="10" eb="11">
      <t>カイ</t>
    </rPh>
    <phoneticPr fontId="6"/>
  </si>
  <si>
    <t>　　　ＴＥＬ０５７４－６３－７７０３　　　ＦＡＸ０５７４－６３－７７０６</t>
    <phoneticPr fontId="6"/>
  </si>
  <si>
    <t>環境保全（株）</t>
    <rPh sb="0" eb="2">
      <t>カンキョウ</t>
    </rPh>
    <rPh sb="2" eb="4">
      <t>ホゼン</t>
    </rPh>
    <rPh sb="4" eb="7">
      <t>カブ</t>
    </rPh>
    <phoneticPr fontId="6"/>
  </si>
  <si>
    <t>　　　〒０３６－０１６４　　　青森県平川市松崎西田４１番地１０</t>
    <rPh sb="15" eb="17">
      <t>アオモリ</t>
    </rPh>
    <rPh sb="18" eb="20">
      <t>ヒラカワ</t>
    </rPh>
    <rPh sb="21" eb="23">
      <t>マツザキ</t>
    </rPh>
    <rPh sb="23" eb="24">
      <t>ニシ</t>
    </rPh>
    <rPh sb="24" eb="25">
      <t>タ</t>
    </rPh>
    <rPh sb="27" eb="29">
      <t>バンチ</t>
    </rPh>
    <phoneticPr fontId="6"/>
  </si>
  <si>
    <t>（株）メイキョー</t>
    <rPh sb="0" eb="3">
      <t>カブ</t>
    </rPh>
    <phoneticPr fontId="6"/>
  </si>
  <si>
    <t>　　　〒４００－００４７　　　山梨県甲府市徳行２丁目２番３８号</t>
    <phoneticPr fontId="6"/>
  </si>
  <si>
    <t>（一社）長野市薬剤師会</t>
    <rPh sb="1" eb="2">
      <t>イチ</t>
    </rPh>
    <rPh sb="2" eb="3">
      <t>シャ</t>
    </rPh>
    <rPh sb="4" eb="6">
      <t>ナガノ</t>
    </rPh>
    <rPh sb="6" eb="7">
      <t>シ</t>
    </rPh>
    <rPh sb="7" eb="10">
      <t>ヤクザイシ</t>
    </rPh>
    <rPh sb="10" eb="11">
      <t>カイ</t>
    </rPh>
    <phoneticPr fontId="6"/>
  </si>
  <si>
    <t>（株）イズミテック</t>
    <rPh sb="0" eb="3">
      <t>カブ</t>
    </rPh>
    <phoneticPr fontId="6"/>
  </si>
  <si>
    <t>　　　〒４４１－８１５６　　　愛知県豊橋市高師町字北新切２６７番地５</t>
    <rPh sb="15" eb="18">
      <t>アイチケン</t>
    </rPh>
    <rPh sb="18" eb="21">
      <t>トヨハシシ</t>
    </rPh>
    <rPh sb="21" eb="23">
      <t>タカシ</t>
    </rPh>
    <rPh sb="23" eb="24">
      <t>マチ</t>
    </rPh>
    <rPh sb="24" eb="25">
      <t>アザ</t>
    </rPh>
    <rPh sb="25" eb="26">
      <t>キタ</t>
    </rPh>
    <rPh sb="26" eb="27">
      <t>シン</t>
    </rPh>
    <rPh sb="27" eb="28">
      <t>キ</t>
    </rPh>
    <rPh sb="31" eb="33">
      <t>バンチ</t>
    </rPh>
    <phoneticPr fontId="6"/>
  </si>
  <si>
    <t>（一社）上田薬剤師会</t>
    <rPh sb="1" eb="2">
      <t>イチ</t>
    </rPh>
    <rPh sb="2" eb="3">
      <t>シャ</t>
    </rPh>
    <rPh sb="4" eb="6">
      <t>ウエダ</t>
    </rPh>
    <rPh sb="6" eb="9">
      <t>ヤクザイシ</t>
    </rPh>
    <rPh sb="9" eb="10">
      <t>カイ</t>
    </rPh>
    <phoneticPr fontId="6"/>
  </si>
  <si>
    <t>　　　〒３８６－００１６　　　上田市国分９９４番地１</t>
    <rPh sb="15" eb="18">
      <t>ウエダシ</t>
    </rPh>
    <rPh sb="18" eb="20">
      <t>コクブ</t>
    </rPh>
    <rPh sb="23" eb="25">
      <t>バンチ</t>
    </rPh>
    <phoneticPr fontId="6"/>
  </si>
  <si>
    <t>　　　ＴＥＬ０５３２－４６－８５２１　　　ＦＡＸ０５３２－４６－８５７４</t>
    <phoneticPr fontId="6"/>
  </si>
  <si>
    <t>（株）静環検査センター</t>
    <rPh sb="0" eb="3">
      <t>カブ</t>
    </rPh>
    <rPh sb="3" eb="4">
      <t>シズカ</t>
    </rPh>
    <rPh sb="4" eb="5">
      <t>カン</t>
    </rPh>
    <rPh sb="5" eb="7">
      <t>ケンサ</t>
    </rPh>
    <phoneticPr fontId="6"/>
  </si>
  <si>
    <t>　　　ＴＥＬ０５４－６３４－１０００　　　ＦＡＸ０５４－６３４－１０１０</t>
    <phoneticPr fontId="6"/>
  </si>
  <si>
    <t>（株）愛研</t>
    <rPh sb="0" eb="3">
      <t>カブ</t>
    </rPh>
    <rPh sb="3" eb="4">
      <t>アイ</t>
    </rPh>
    <rPh sb="4" eb="5">
      <t>ケン</t>
    </rPh>
    <phoneticPr fontId="6"/>
  </si>
  <si>
    <t>　　　〒４６３－００３７　　　愛知県名古屋市守山区天子田２丁目７１０番地</t>
    <rPh sb="15" eb="18">
      <t>アイチケン</t>
    </rPh>
    <rPh sb="18" eb="22">
      <t>ナゴヤシ</t>
    </rPh>
    <rPh sb="22" eb="25">
      <t>モリヤマク</t>
    </rPh>
    <rPh sb="25" eb="28">
      <t>アマコダ</t>
    </rPh>
    <rPh sb="29" eb="31">
      <t>チョウメ</t>
    </rPh>
    <rPh sb="34" eb="36">
      <t>バンチ</t>
    </rPh>
    <phoneticPr fontId="6"/>
  </si>
  <si>
    <t>（株）江東微生物研究所</t>
    <rPh sb="1" eb="2">
      <t>カブ</t>
    </rPh>
    <rPh sb="3" eb="5">
      <t>コウトウ</t>
    </rPh>
    <rPh sb="5" eb="8">
      <t>ビセイブツ</t>
    </rPh>
    <rPh sb="8" eb="10">
      <t>ケンキュウ</t>
    </rPh>
    <rPh sb="10" eb="11">
      <t>ジョ</t>
    </rPh>
    <phoneticPr fontId="6"/>
  </si>
  <si>
    <t xml:space="preserve">　　　〒１３３－００５７　　　東京都江戸川区西小岩５丁目１８番６号 </t>
    <rPh sb="26" eb="28">
      <t>チョウメ</t>
    </rPh>
    <rPh sb="30" eb="31">
      <t>バン</t>
    </rPh>
    <rPh sb="32" eb="33">
      <t>ゴウ</t>
    </rPh>
    <phoneticPr fontId="6"/>
  </si>
  <si>
    <t>　　　ＴＥＬ０５２－７７１－２７１７　　　ＦＡＸ０５２－７７１－２６４１</t>
    <phoneticPr fontId="6"/>
  </si>
  <si>
    <t>　　　ＴＥＬ０３－３６７２－９１７１　　</t>
    <phoneticPr fontId="6"/>
  </si>
  <si>
    <t>いであ（株）</t>
    <rPh sb="4" eb="5">
      <t>カブ</t>
    </rPh>
    <phoneticPr fontId="6"/>
  </si>
  <si>
    <t>　　　〒１５４－００１２　　　東京都世田谷区駒沢３丁目１５番１号</t>
    <rPh sb="15" eb="18">
      <t>トウキョウト</t>
    </rPh>
    <rPh sb="18" eb="22">
      <t>セタガヤク</t>
    </rPh>
    <rPh sb="22" eb="24">
      <t>コマザワ</t>
    </rPh>
    <rPh sb="25" eb="27">
      <t>チョウメ</t>
    </rPh>
    <rPh sb="29" eb="30">
      <t>バン</t>
    </rPh>
    <rPh sb="31" eb="32">
      <t>ゴウ</t>
    </rPh>
    <phoneticPr fontId="6"/>
  </si>
  <si>
    <t>　　　ＴＥＬ０３－４５４４－７６００　　　ＦＡＸ０３－４５４４－７７００</t>
    <phoneticPr fontId="6"/>
  </si>
  <si>
    <t>藤吉工業（株）</t>
    <rPh sb="0" eb="2">
      <t>フジヨシ</t>
    </rPh>
    <rPh sb="2" eb="4">
      <t>コウギョウ</t>
    </rPh>
    <rPh sb="4" eb="7">
      <t>カブ</t>
    </rPh>
    <phoneticPr fontId="6"/>
  </si>
  <si>
    <t>　　　〒４５３－０８０１　　　愛知県名古屋市中村区太閤４丁目２番８号</t>
    <rPh sb="15" eb="18">
      <t>アイチケン</t>
    </rPh>
    <rPh sb="18" eb="22">
      <t>ナゴヤシ</t>
    </rPh>
    <rPh sb="22" eb="25">
      <t>ナカムラク</t>
    </rPh>
    <rPh sb="25" eb="27">
      <t>タイコウ</t>
    </rPh>
    <rPh sb="28" eb="30">
      <t>チョウメ</t>
    </rPh>
    <rPh sb="31" eb="32">
      <t>バン</t>
    </rPh>
    <rPh sb="33" eb="34">
      <t>ゴウ</t>
    </rPh>
    <phoneticPr fontId="6"/>
  </si>
  <si>
    <t>（株）日吉</t>
    <rPh sb="0" eb="3">
      <t>カブ</t>
    </rPh>
    <rPh sb="3" eb="5">
      <t>ヒヨシ</t>
    </rPh>
    <phoneticPr fontId="6"/>
  </si>
  <si>
    <t>　　　〒５２３－８５５５　　　滋賀県近江八幡市北之庄町９０８番地</t>
    <rPh sb="15" eb="18">
      <t>シガケン</t>
    </rPh>
    <rPh sb="18" eb="20">
      <t>チカエ</t>
    </rPh>
    <rPh sb="22" eb="23">
      <t>シ</t>
    </rPh>
    <rPh sb="23" eb="27">
      <t>キタノショウチョウ</t>
    </rPh>
    <rPh sb="30" eb="32">
      <t>バンチ</t>
    </rPh>
    <phoneticPr fontId="6"/>
  </si>
  <si>
    <t>　　　ＴＥＬ０５２－４５１－８２６１　　　ＦＡＸ０５２－４５１－２３７３</t>
    <phoneticPr fontId="6"/>
  </si>
  <si>
    <t>　　　ＴＥＬ０７４８－３２－５１１１　　　ＦＡＸ０７４８－３２－３３３９</t>
    <phoneticPr fontId="6"/>
  </si>
  <si>
    <t>（一財）東海技術センター</t>
    <rPh sb="1" eb="2">
      <t>イチ</t>
    </rPh>
    <rPh sb="2" eb="3">
      <t>ザイ</t>
    </rPh>
    <rPh sb="4" eb="6">
      <t>トウカイ</t>
    </rPh>
    <rPh sb="6" eb="8">
      <t>ギジュツ</t>
    </rPh>
    <phoneticPr fontId="6"/>
  </si>
  <si>
    <t>　　　〒４６５－００２１      愛知県名古屋市名東区猪子石２丁目７１０番地　</t>
    <rPh sb="18" eb="21">
      <t>アイチケン</t>
    </rPh>
    <phoneticPr fontId="6"/>
  </si>
  <si>
    <t>（株）科学技術開発センター</t>
    <rPh sb="1" eb="2">
      <t>カブ</t>
    </rPh>
    <rPh sb="3" eb="5">
      <t>カガク</t>
    </rPh>
    <rPh sb="5" eb="7">
      <t>ギジュツ</t>
    </rPh>
    <rPh sb="7" eb="9">
      <t>カイハツ</t>
    </rPh>
    <phoneticPr fontId="6"/>
  </si>
  <si>
    <t xml:space="preserve">       ＴＥＬ０５２－７７１－５１６１　　　ＦＡＸ０５２－７７１－５１６４ </t>
    <phoneticPr fontId="6"/>
  </si>
  <si>
    <t>（株）山梨県環境科学検査センター</t>
    <rPh sb="1" eb="2">
      <t>カブ</t>
    </rPh>
    <rPh sb="3" eb="6">
      <t>ヤマナシケン</t>
    </rPh>
    <rPh sb="6" eb="8">
      <t>カンキョウ</t>
    </rPh>
    <rPh sb="8" eb="10">
      <t>カガク</t>
    </rPh>
    <rPh sb="10" eb="12">
      <t>ケンサ</t>
    </rPh>
    <phoneticPr fontId="6"/>
  </si>
  <si>
    <t>　　　〒４００－０１１１　　　山梨県甲斐市竜王新町２２７７番地１２</t>
    <rPh sb="15" eb="18">
      <t>ヤマナシケン</t>
    </rPh>
    <rPh sb="18" eb="20">
      <t>カイ</t>
    </rPh>
    <rPh sb="20" eb="21">
      <t>シ</t>
    </rPh>
    <rPh sb="21" eb="23">
      <t>リュウオウ</t>
    </rPh>
    <rPh sb="23" eb="25">
      <t>シンマチ</t>
    </rPh>
    <rPh sb="29" eb="31">
      <t>バンチ</t>
    </rPh>
    <phoneticPr fontId="6"/>
  </si>
  <si>
    <t>環境未来（株）</t>
    <rPh sb="0" eb="2">
      <t>カンキョウ</t>
    </rPh>
    <rPh sb="2" eb="4">
      <t>ミライ</t>
    </rPh>
    <rPh sb="5" eb="6">
      <t>カブ</t>
    </rPh>
    <phoneticPr fontId="6"/>
  </si>
  <si>
    <t>　　　ＴＥＬ０５５－２７８－１６００　　　ＦＡＸ０５５－２７８－１６０１</t>
    <phoneticPr fontId="6"/>
  </si>
  <si>
    <t>前澤工業（株）</t>
    <rPh sb="0" eb="2">
      <t>マエザワ</t>
    </rPh>
    <rPh sb="2" eb="4">
      <t>コウギョウ</t>
    </rPh>
    <rPh sb="4" eb="7">
      <t>カブ</t>
    </rPh>
    <phoneticPr fontId="6"/>
  </si>
  <si>
    <t>　　　〒１０４－８３５１　　　東京都中央区新川１丁目５番１７号</t>
    <rPh sb="15" eb="18">
      <t>トウキョウト</t>
    </rPh>
    <rPh sb="18" eb="21">
      <t>チュウオウク</t>
    </rPh>
    <rPh sb="21" eb="22">
      <t>シン</t>
    </rPh>
    <rPh sb="22" eb="23">
      <t>カワ</t>
    </rPh>
    <rPh sb="24" eb="26">
      <t>チョウメ</t>
    </rPh>
    <rPh sb="27" eb="28">
      <t>バン</t>
    </rPh>
    <rPh sb="30" eb="31">
      <t>ゴウ</t>
    </rPh>
    <phoneticPr fontId="6"/>
  </si>
  <si>
    <t>（株）総合保健センター</t>
    <rPh sb="1" eb="2">
      <t>カブ</t>
    </rPh>
    <rPh sb="3" eb="5">
      <t>ソウゴウ</t>
    </rPh>
    <rPh sb="5" eb="7">
      <t>ホケン</t>
    </rPh>
    <phoneticPr fontId="6"/>
  </si>
  <si>
    <t>　　　ＴＥＬ０３－３２９７－０６１１　　　ＦＡＸ０３－３２９７－０６１９</t>
    <phoneticPr fontId="6"/>
  </si>
  <si>
    <t>（株）総合水研究所</t>
    <rPh sb="0" eb="3">
      <t>カブ</t>
    </rPh>
    <rPh sb="3" eb="5">
      <t>ソウゴウ</t>
    </rPh>
    <rPh sb="5" eb="6">
      <t>ミズ</t>
    </rPh>
    <rPh sb="6" eb="9">
      <t>ケンキュウジョ</t>
    </rPh>
    <phoneticPr fontId="6"/>
  </si>
  <si>
    <t>（株）日本分析</t>
    <rPh sb="1" eb="2">
      <t>カブ</t>
    </rPh>
    <rPh sb="3" eb="5">
      <t>ニホン</t>
    </rPh>
    <rPh sb="5" eb="7">
      <t>ブンセキ</t>
    </rPh>
    <phoneticPr fontId="6"/>
  </si>
  <si>
    <t>　　　〒１７４－００５１　　　 東京都板橋区小豆沢２丁目２６番１４号</t>
    <rPh sb="26" eb="28">
      <t>チョウメ</t>
    </rPh>
    <rPh sb="30" eb="31">
      <t>バン</t>
    </rPh>
    <rPh sb="33" eb="34">
      <t>ゴウ</t>
    </rPh>
    <phoneticPr fontId="6"/>
  </si>
  <si>
    <t>　　　ＴＥＬ０７２－２２４－３５３２　　　ＦＡＸ０７２－２２４－３２５７</t>
    <phoneticPr fontId="6"/>
  </si>
  <si>
    <t>　　　ＴＥＬ０３－５９１４－４４３１　　　ＦＡＸ ０３－５９１４－４４３２</t>
    <phoneticPr fontId="6"/>
  </si>
  <si>
    <t>３５．水道水質基準と検査頻度</t>
    <rPh sb="3" eb="5">
      <t>スイドウ</t>
    </rPh>
    <rPh sb="5" eb="7">
      <t>スイシツ</t>
    </rPh>
    <rPh sb="7" eb="9">
      <t>キジュン</t>
    </rPh>
    <rPh sb="10" eb="12">
      <t>ケンサ</t>
    </rPh>
    <rPh sb="12" eb="14">
      <t>ヒンド</t>
    </rPh>
    <phoneticPr fontId="6"/>
  </si>
  <si>
    <t>※令和２年４月１日から適用</t>
    <rPh sb="1" eb="3">
      <t>レイワ</t>
    </rPh>
    <rPh sb="4" eb="5">
      <t>ネン</t>
    </rPh>
    <rPh sb="5" eb="6">
      <t>ヘイネン</t>
    </rPh>
    <rPh sb="6" eb="7">
      <t>ガツ</t>
    </rPh>
    <rPh sb="8" eb="9">
      <t>ニチ</t>
    </rPh>
    <rPh sb="11" eb="13">
      <t>テキヨウ</t>
    </rPh>
    <phoneticPr fontId="6"/>
  </si>
  <si>
    <t>項　　目　　名</t>
    <rPh sb="0" eb="1">
      <t>コウ</t>
    </rPh>
    <rPh sb="3" eb="4">
      <t>メ</t>
    </rPh>
    <rPh sb="6" eb="7">
      <t>メイ</t>
    </rPh>
    <phoneticPr fontId="6"/>
  </si>
  <si>
    <t>基　　準　　値</t>
    <rPh sb="0" eb="1">
      <t>モト</t>
    </rPh>
    <rPh sb="3" eb="4">
      <t>ジュン</t>
    </rPh>
    <rPh sb="6" eb="7">
      <t>アタイ</t>
    </rPh>
    <phoneticPr fontId="6"/>
  </si>
  <si>
    <t>検査頻度</t>
    <rPh sb="0" eb="2">
      <t>ケンサ</t>
    </rPh>
    <rPh sb="2" eb="4">
      <t>ヒンド</t>
    </rPh>
    <phoneticPr fontId="6"/>
  </si>
  <si>
    <t>検査頻度減の可否</t>
    <rPh sb="0" eb="2">
      <t>ケンサ</t>
    </rPh>
    <rPh sb="2" eb="4">
      <t>ヒンド</t>
    </rPh>
    <rPh sb="4" eb="5">
      <t>ゲン</t>
    </rPh>
    <rPh sb="6" eb="8">
      <t>カヒ</t>
    </rPh>
    <phoneticPr fontId="6"/>
  </si>
  <si>
    <t>省略の可否</t>
    <rPh sb="0" eb="2">
      <t>ショウリャク</t>
    </rPh>
    <rPh sb="3" eb="5">
      <t>カヒ</t>
    </rPh>
    <phoneticPr fontId="6"/>
  </si>
  <si>
    <t>省略の際の検討事項</t>
    <rPh sb="0" eb="2">
      <t>ショウリャク</t>
    </rPh>
    <rPh sb="3" eb="4">
      <t>サイ</t>
    </rPh>
    <rPh sb="5" eb="7">
      <t>ケントウ</t>
    </rPh>
    <rPh sb="7" eb="9">
      <t>ジコウ</t>
    </rPh>
    <phoneticPr fontId="6"/>
  </si>
  <si>
    <t>一般細菌</t>
    <rPh sb="0" eb="2">
      <t>イッパン</t>
    </rPh>
    <rPh sb="2" eb="4">
      <t>サイキン</t>
    </rPh>
    <phoneticPr fontId="6"/>
  </si>
  <si>
    <t>１００以下</t>
    <rPh sb="3" eb="5">
      <t>イカ</t>
    </rPh>
    <phoneticPr fontId="6"/>
  </si>
  <si>
    <t>１回／月</t>
    <rPh sb="1" eb="2">
      <t>カイ</t>
    </rPh>
    <rPh sb="3" eb="4">
      <t>ツキ</t>
    </rPh>
    <phoneticPr fontId="6"/>
  </si>
  <si>
    <t>不可</t>
    <rPh sb="0" eb="2">
      <t>フカ</t>
    </rPh>
    <phoneticPr fontId="6"/>
  </si>
  <si>
    <t>大腸菌</t>
    <rPh sb="0" eb="3">
      <t>ダイチョウキン</t>
    </rPh>
    <phoneticPr fontId="6"/>
  </si>
  <si>
    <t>検出されないこと。</t>
    <rPh sb="0" eb="2">
      <t>ケンシュツ</t>
    </rPh>
    <phoneticPr fontId="6"/>
  </si>
  <si>
    <t>亜硝酸態窒素</t>
    <rPh sb="0" eb="3">
      <t>アショウサン</t>
    </rPh>
    <rPh sb="3" eb="4">
      <t>タイ</t>
    </rPh>
    <rPh sb="4" eb="6">
      <t>チッソ</t>
    </rPh>
    <phoneticPr fontId="6"/>
  </si>
  <si>
    <t>０．０４mg/l以下</t>
    <rPh sb="8" eb="10">
      <t>イカ</t>
    </rPh>
    <phoneticPr fontId="6"/>
  </si>
  <si>
    <t>４回／年</t>
  </si>
  <si>
    <t>＊に同じ</t>
    <rPh sb="2" eb="3">
      <t>オナ</t>
    </rPh>
    <phoneticPr fontId="6"/>
  </si>
  <si>
    <t>硝酸態窒素及び亜硝酸態窒素</t>
    <rPh sb="0" eb="2">
      <t>ショウサン</t>
    </rPh>
    <rPh sb="2" eb="3">
      <t>タイ</t>
    </rPh>
    <rPh sb="3" eb="5">
      <t>チッソ</t>
    </rPh>
    <rPh sb="5" eb="6">
      <t>オヨ</t>
    </rPh>
    <rPh sb="7" eb="10">
      <t>アショウサン</t>
    </rPh>
    <rPh sb="10" eb="11">
      <t>タイ</t>
    </rPh>
    <rPh sb="11" eb="13">
      <t>チッソ</t>
    </rPh>
    <phoneticPr fontId="6"/>
  </si>
  <si>
    <t>１０mg/l以下</t>
    <rPh sb="6" eb="8">
      <t>イカ</t>
    </rPh>
    <phoneticPr fontId="6"/>
  </si>
  <si>
    <t>塩化物イオン</t>
    <rPh sb="0" eb="3">
      <t>エンカブツ</t>
    </rPh>
    <phoneticPr fontId="6"/>
  </si>
  <si>
    <t>２００mg/l以下</t>
    <rPh sb="7" eb="9">
      <t>イカ</t>
    </rPh>
    <phoneticPr fontId="6"/>
  </si>
  <si>
    <t>自動的に測定・記録をしている場合：１回／３月</t>
    <rPh sb="0" eb="3">
      <t>ジドウテキ</t>
    </rPh>
    <rPh sb="4" eb="6">
      <t>ソクテイ</t>
    </rPh>
    <rPh sb="7" eb="9">
      <t>キロク</t>
    </rPh>
    <rPh sb="14" eb="16">
      <t>バアイ</t>
    </rPh>
    <rPh sb="18" eb="19">
      <t>カイ</t>
    </rPh>
    <rPh sb="21" eb="22">
      <t>ツキ</t>
    </rPh>
    <phoneticPr fontId="6"/>
  </si>
  <si>
    <t>有機物（全有機炭素（ＴＯＣ）の量）</t>
    <rPh sb="0" eb="3">
      <t>ユウキブツ</t>
    </rPh>
    <rPh sb="4" eb="5">
      <t>ゼン</t>
    </rPh>
    <rPh sb="5" eb="7">
      <t>ユウキ</t>
    </rPh>
    <rPh sb="7" eb="9">
      <t>タンソ</t>
    </rPh>
    <rPh sb="15" eb="16">
      <t>リョウ</t>
    </rPh>
    <phoneticPr fontId="6"/>
  </si>
  <si>
    <t>３mg/l以下</t>
    <rPh sb="5" eb="7">
      <t>イカ</t>
    </rPh>
    <phoneticPr fontId="6"/>
  </si>
  <si>
    <t>ｐＨ値</t>
    <rPh sb="2" eb="3">
      <t>チ</t>
    </rPh>
    <phoneticPr fontId="6"/>
  </si>
  <si>
    <t>５．８以上８．６以下</t>
    <rPh sb="3" eb="5">
      <t>イジョウ</t>
    </rPh>
    <rPh sb="8" eb="10">
      <t>イカ</t>
    </rPh>
    <phoneticPr fontId="6"/>
  </si>
  <si>
    <t>味</t>
    <rPh sb="0" eb="1">
      <t>アジ</t>
    </rPh>
    <phoneticPr fontId="6"/>
  </si>
  <si>
    <t>異常でないこと。</t>
    <rPh sb="0" eb="2">
      <t>イジョウ</t>
    </rPh>
    <phoneticPr fontId="6"/>
  </si>
  <si>
    <t>臭気</t>
    <rPh sb="0" eb="2">
      <t>シュウキ</t>
    </rPh>
    <phoneticPr fontId="6"/>
  </si>
  <si>
    <t>色度</t>
    <rPh sb="0" eb="1">
      <t>シキ</t>
    </rPh>
    <rPh sb="1" eb="2">
      <t>ド</t>
    </rPh>
    <phoneticPr fontId="6"/>
  </si>
  <si>
    <t>５度以下</t>
    <rPh sb="1" eb="4">
      <t>ドイカ</t>
    </rPh>
    <phoneticPr fontId="6"/>
  </si>
  <si>
    <t>濁度</t>
    <rPh sb="0" eb="2">
      <t>ダクド</t>
    </rPh>
    <phoneticPr fontId="6"/>
  </si>
  <si>
    <t>２度以下</t>
    <rPh sb="1" eb="4">
      <t>ドイカ</t>
    </rPh>
    <phoneticPr fontId="6"/>
  </si>
  <si>
    <t>シアン化物イオン及び塩化シアン</t>
    <rPh sb="3" eb="4">
      <t>カ</t>
    </rPh>
    <rPh sb="4" eb="5">
      <t>ブツ</t>
    </rPh>
    <rPh sb="8" eb="9">
      <t>オヨ</t>
    </rPh>
    <rPh sb="10" eb="12">
      <t>エンカ</t>
    </rPh>
    <phoneticPr fontId="6"/>
  </si>
  <si>
    <t>０．０１mg/l以下</t>
    <rPh sb="8" eb="10">
      <t>イカ</t>
    </rPh>
    <phoneticPr fontId="6"/>
  </si>
  <si>
    <t>４回／年</t>
    <rPh sb="1" eb="2">
      <t>カイ</t>
    </rPh>
    <rPh sb="3" eb="4">
      <t>ネン</t>
    </rPh>
    <phoneticPr fontId="6"/>
  </si>
  <si>
    <t>塩素酸</t>
    <rPh sb="0" eb="2">
      <t>エンソ</t>
    </rPh>
    <rPh sb="2" eb="3">
      <t>サン</t>
    </rPh>
    <phoneticPr fontId="6"/>
  </si>
  <si>
    <t>０．６mg/l以下</t>
    <rPh sb="7" eb="9">
      <t>イカ</t>
    </rPh>
    <phoneticPr fontId="6"/>
  </si>
  <si>
    <t>クロロ酢酸</t>
    <rPh sb="3" eb="5">
      <t>サクサン</t>
    </rPh>
    <phoneticPr fontId="6"/>
  </si>
  <si>
    <t>０．０２mg/l以下</t>
    <rPh sb="8" eb="10">
      <t>イカ</t>
    </rPh>
    <phoneticPr fontId="6"/>
  </si>
  <si>
    <t>クロロホルム</t>
    <phoneticPr fontId="6"/>
  </si>
  <si>
    <t>０．０６mg/l以下</t>
    <rPh sb="8" eb="10">
      <t>イカ</t>
    </rPh>
    <phoneticPr fontId="6"/>
  </si>
  <si>
    <t>ジクロロ酢酸</t>
    <rPh sb="4" eb="6">
      <t>サクサン</t>
    </rPh>
    <phoneticPr fontId="6"/>
  </si>
  <si>
    <t>０．０３mg/l以下</t>
    <rPh sb="8" eb="10">
      <t>イカ</t>
    </rPh>
    <phoneticPr fontId="6"/>
  </si>
  <si>
    <t>ジブロモクロロメタン</t>
    <phoneticPr fontId="6"/>
  </si>
  <si>
    <t>０．１mg/l以下</t>
    <rPh sb="7" eb="9">
      <t>イカ</t>
    </rPh>
    <phoneticPr fontId="6"/>
  </si>
  <si>
    <t>総トリハロメタン（クロロホルム、ジブロモクロロメタン、ブロモジクロロメタン及びブロモホルム)のそれぞれの濃度の総和</t>
    <rPh sb="0" eb="1">
      <t>ソウ</t>
    </rPh>
    <rPh sb="37" eb="38">
      <t>オヨ</t>
    </rPh>
    <rPh sb="52" eb="54">
      <t>ノウド</t>
    </rPh>
    <rPh sb="55" eb="57">
      <t>ソウワ</t>
    </rPh>
    <phoneticPr fontId="6"/>
  </si>
  <si>
    <t>トリクロロ酢酸</t>
    <rPh sb="5" eb="7">
      <t>サクサン</t>
    </rPh>
    <phoneticPr fontId="6"/>
  </si>
  <si>
    <t>ブロモジクロロメタン</t>
    <phoneticPr fontId="6"/>
  </si>
  <si>
    <t>ブロモホルム</t>
    <phoneticPr fontId="6"/>
  </si>
  <si>
    <t>０．０９mg/l以下</t>
    <rPh sb="8" eb="10">
      <t>イカ</t>
    </rPh>
    <phoneticPr fontId="6"/>
  </si>
  <si>
    <t>ホルムアルデヒド</t>
    <phoneticPr fontId="6"/>
  </si>
  <si>
    <t>０．０８mg/l以下</t>
    <rPh sb="8" eb="10">
      <t>イカ</t>
    </rPh>
    <phoneticPr fontId="6"/>
  </si>
  <si>
    <t>ホウ素及びその化合物</t>
    <rPh sb="2" eb="3">
      <t>ソ</t>
    </rPh>
    <rPh sb="3" eb="4">
      <t>オヨ</t>
    </rPh>
    <rPh sb="7" eb="10">
      <t>カゴウブツ</t>
    </rPh>
    <phoneticPr fontId="6"/>
  </si>
  <si>
    <t>１．０mg/l以下</t>
    <rPh sb="7" eb="9">
      <t>イカ</t>
    </rPh>
    <phoneticPr fontId="6"/>
  </si>
  <si>
    <t>過去の検査結果が基準値の１／２を超えたことがなく、かつ、原水並びに水源及びその周辺の状況から検査する必要がないことが明らかな場合は省略することができる。</t>
    <rPh sb="0" eb="2">
      <t>カコ</t>
    </rPh>
    <rPh sb="3" eb="5">
      <t>ケンサ</t>
    </rPh>
    <rPh sb="5" eb="7">
      <t>ケッカ</t>
    </rPh>
    <rPh sb="8" eb="11">
      <t>キジュンチ</t>
    </rPh>
    <rPh sb="16" eb="17">
      <t>コ</t>
    </rPh>
    <rPh sb="28" eb="30">
      <t>ゲンスイ</t>
    </rPh>
    <rPh sb="30" eb="31">
      <t>ナラ</t>
    </rPh>
    <rPh sb="33" eb="35">
      <t>スイゲン</t>
    </rPh>
    <rPh sb="35" eb="36">
      <t>オヨ</t>
    </rPh>
    <rPh sb="39" eb="41">
      <t>シュウヘン</t>
    </rPh>
    <rPh sb="42" eb="44">
      <t>ジョウキョウ</t>
    </rPh>
    <rPh sb="46" eb="48">
      <t>ケンサ</t>
    </rPh>
    <rPh sb="50" eb="52">
      <t>ヒツヨウ</t>
    </rPh>
    <rPh sb="58" eb="59">
      <t>アキ</t>
    </rPh>
    <rPh sb="62" eb="64">
      <t>バアイ</t>
    </rPh>
    <rPh sb="65" eb="67">
      <t>ショウリャク</t>
    </rPh>
    <phoneticPr fontId="6"/>
  </si>
  <si>
    <t>原水が海水の場合は省略できない。</t>
    <rPh sb="0" eb="2">
      <t>ゲンスイ</t>
    </rPh>
    <rPh sb="3" eb="5">
      <t>カイスイ</t>
    </rPh>
    <rPh sb="6" eb="8">
      <t>バアイ</t>
    </rPh>
    <rPh sb="9" eb="11">
      <t>ショウリャク</t>
    </rPh>
    <phoneticPr fontId="6"/>
  </si>
  <si>
    <t>臭素酸</t>
    <rPh sb="0" eb="2">
      <t>シュウソ</t>
    </rPh>
    <rPh sb="2" eb="3">
      <t>サン</t>
    </rPh>
    <phoneticPr fontId="6"/>
  </si>
  <si>
    <t>オゾン処理の場合及び次亜塩素酸消毒の場合は省略できない。</t>
    <rPh sb="3" eb="5">
      <t>ショリ</t>
    </rPh>
    <rPh sb="6" eb="8">
      <t>バアイ</t>
    </rPh>
    <rPh sb="8" eb="9">
      <t>オヨ</t>
    </rPh>
    <rPh sb="10" eb="11">
      <t>ジ</t>
    </rPh>
    <rPh sb="11" eb="12">
      <t>ア</t>
    </rPh>
    <rPh sb="12" eb="15">
      <t>エンソサン</t>
    </rPh>
    <rPh sb="15" eb="17">
      <t>ショウドク</t>
    </rPh>
    <rPh sb="18" eb="20">
      <t>バアイ</t>
    </rPh>
    <rPh sb="21" eb="23">
      <t>ショウリャク</t>
    </rPh>
    <phoneticPr fontId="6"/>
  </si>
  <si>
    <t>カドミウム及びその化合物</t>
    <rPh sb="5" eb="6">
      <t>オヨ</t>
    </rPh>
    <rPh sb="9" eb="12">
      <t>カゴウブツ</t>
    </rPh>
    <phoneticPr fontId="6"/>
  </si>
  <si>
    <t>０．００３mg/l以下</t>
    <rPh sb="9" eb="11">
      <t>イカ</t>
    </rPh>
    <phoneticPr fontId="6"/>
  </si>
  <si>
    <t>＊原水の水質が大きく変わるおそれが少ないと認められる場合であって、過去３年間における検査結果がすべて基準値の１／５以下の場合：１回／年
基準値の１／１０以下の場合：１回／３年</t>
    <rPh sb="1" eb="3">
      <t>ゲンスイ</t>
    </rPh>
    <rPh sb="4" eb="6">
      <t>スイシツ</t>
    </rPh>
    <rPh sb="7" eb="8">
      <t>オオ</t>
    </rPh>
    <rPh sb="10" eb="11">
      <t>カ</t>
    </rPh>
    <rPh sb="17" eb="18">
      <t>スク</t>
    </rPh>
    <rPh sb="21" eb="22">
      <t>ミト</t>
    </rPh>
    <rPh sb="26" eb="28">
      <t>バアイ</t>
    </rPh>
    <rPh sb="33" eb="35">
      <t>カコ</t>
    </rPh>
    <rPh sb="36" eb="38">
      <t>ネンカン</t>
    </rPh>
    <rPh sb="42" eb="44">
      <t>ケンサ</t>
    </rPh>
    <rPh sb="44" eb="46">
      <t>ケッカ</t>
    </rPh>
    <rPh sb="50" eb="53">
      <t>キジュンチ</t>
    </rPh>
    <rPh sb="57" eb="59">
      <t>イカ</t>
    </rPh>
    <rPh sb="60" eb="62">
      <t>バアイ</t>
    </rPh>
    <rPh sb="64" eb="65">
      <t>カイ</t>
    </rPh>
    <rPh sb="66" eb="67">
      <t>ネン</t>
    </rPh>
    <rPh sb="68" eb="71">
      <t>キジュンチ</t>
    </rPh>
    <rPh sb="76" eb="78">
      <t>イカ</t>
    </rPh>
    <rPh sb="79" eb="81">
      <t>バアイ</t>
    </rPh>
    <rPh sb="83" eb="84">
      <t>カイ</t>
    </rPh>
    <rPh sb="86" eb="87">
      <t>ネン</t>
    </rPh>
    <phoneticPr fontId="6"/>
  </si>
  <si>
    <t>水銀及びその化合物</t>
    <rPh sb="0" eb="2">
      <t>スイギン</t>
    </rPh>
    <rPh sb="2" eb="3">
      <t>オヨ</t>
    </rPh>
    <rPh sb="6" eb="9">
      <t>カゴウブツ</t>
    </rPh>
    <phoneticPr fontId="6"/>
  </si>
  <si>
    <t>０．０００５mg/l以下</t>
    <rPh sb="10" eb="12">
      <t>イカ</t>
    </rPh>
    <phoneticPr fontId="6"/>
  </si>
  <si>
    <t>セレン及びその化合物</t>
    <rPh sb="3" eb="4">
      <t>オヨ</t>
    </rPh>
    <rPh sb="7" eb="10">
      <t>カゴウブツ</t>
    </rPh>
    <phoneticPr fontId="6"/>
  </si>
  <si>
    <t>ヒ素及びその化合物</t>
    <rPh sb="1" eb="2">
      <t>ソ</t>
    </rPh>
    <rPh sb="2" eb="3">
      <t>オヨ</t>
    </rPh>
    <rPh sb="6" eb="9">
      <t>カゴウブツ</t>
    </rPh>
    <phoneticPr fontId="6"/>
  </si>
  <si>
    <t>フッ素及びその化合物</t>
    <rPh sb="2" eb="3">
      <t>ソ</t>
    </rPh>
    <rPh sb="3" eb="4">
      <t>オヨ</t>
    </rPh>
    <rPh sb="7" eb="10">
      <t>カゴウブツ</t>
    </rPh>
    <phoneticPr fontId="6"/>
  </si>
  <si>
    <t>０．８mg/l以下</t>
    <rPh sb="7" eb="9">
      <t>イカ</t>
    </rPh>
    <phoneticPr fontId="6"/>
  </si>
  <si>
    <t>ナトリウム及びその化合物</t>
    <rPh sb="5" eb="6">
      <t>オヨ</t>
    </rPh>
    <rPh sb="9" eb="12">
      <t>カゴウブツ</t>
    </rPh>
    <phoneticPr fontId="6"/>
  </si>
  <si>
    <t>マンガン及びその化合物</t>
    <rPh sb="4" eb="5">
      <t>オヨ</t>
    </rPh>
    <rPh sb="8" eb="11">
      <t>カゴウブツ</t>
    </rPh>
    <phoneticPr fontId="6"/>
  </si>
  <si>
    <t>０．０５mg/l以下</t>
    <rPh sb="8" eb="10">
      <t>イカ</t>
    </rPh>
    <phoneticPr fontId="6"/>
  </si>
  <si>
    <t>カルシウム、マグネシウム等（硬度）</t>
    <rPh sb="12" eb="13">
      <t>トウ</t>
    </rPh>
    <rPh sb="14" eb="16">
      <t>コウド</t>
    </rPh>
    <phoneticPr fontId="6"/>
  </si>
  <si>
    <t>３００mg/l以下</t>
    <rPh sb="7" eb="9">
      <t>イカ</t>
    </rPh>
    <phoneticPr fontId="6"/>
  </si>
  <si>
    <t>蒸発残留物</t>
    <rPh sb="0" eb="2">
      <t>ジョウハツ</t>
    </rPh>
    <rPh sb="2" eb="5">
      <t>ザンリュウブツ</t>
    </rPh>
    <phoneticPr fontId="6"/>
  </si>
  <si>
    <t>５００mg/l以下</t>
    <rPh sb="7" eb="9">
      <t>イカ</t>
    </rPh>
    <phoneticPr fontId="6"/>
  </si>
  <si>
    <t>陰イオン界面活性剤</t>
    <rPh sb="0" eb="1">
      <t>イン</t>
    </rPh>
    <rPh sb="4" eb="6">
      <t>カイメン</t>
    </rPh>
    <rPh sb="6" eb="9">
      <t>カッセイザイ</t>
    </rPh>
    <phoneticPr fontId="6"/>
  </si>
  <si>
    <t>０．２mg/l以下</t>
    <rPh sb="7" eb="9">
      <t>イカ</t>
    </rPh>
    <phoneticPr fontId="6"/>
  </si>
  <si>
    <t>非イオン界面活性剤</t>
    <rPh sb="0" eb="1">
      <t>ヒ</t>
    </rPh>
    <rPh sb="4" eb="6">
      <t>カイメン</t>
    </rPh>
    <rPh sb="6" eb="9">
      <t>カッセイザイ</t>
    </rPh>
    <phoneticPr fontId="6"/>
  </si>
  <si>
    <t>フェノール類</t>
    <rPh sb="5" eb="6">
      <t>ルイ</t>
    </rPh>
    <phoneticPr fontId="6"/>
  </si>
  <si>
    <t>０．００５mg/l以下</t>
    <rPh sb="9" eb="11">
      <t>イカ</t>
    </rPh>
    <phoneticPr fontId="6"/>
  </si>
  <si>
    <t>鉛及びその化合物</t>
    <rPh sb="0" eb="1">
      <t>ナマリ</t>
    </rPh>
    <rPh sb="1" eb="2">
      <t>オヨ</t>
    </rPh>
    <rPh sb="5" eb="8">
      <t>カゴウブツ</t>
    </rPh>
    <phoneticPr fontId="6"/>
  </si>
  <si>
    <t>施設の薬品等及び資機材等の使用状況も勘案する。</t>
    <rPh sb="0" eb="2">
      <t>シセツ</t>
    </rPh>
    <rPh sb="3" eb="5">
      <t>ヤクヒン</t>
    </rPh>
    <rPh sb="5" eb="6">
      <t>トウ</t>
    </rPh>
    <rPh sb="6" eb="7">
      <t>オヨ</t>
    </rPh>
    <rPh sb="8" eb="11">
      <t>シキザイ</t>
    </rPh>
    <rPh sb="11" eb="12">
      <t>トウ</t>
    </rPh>
    <rPh sb="13" eb="15">
      <t>シヨウ</t>
    </rPh>
    <rPh sb="15" eb="17">
      <t>ジョウキョウ</t>
    </rPh>
    <rPh sb="18" eb="20">
      <t>カンアン</t>
    </rPh>
    <phoneticPr fontId="6"/>
  </si>
  <si>
    <t>六価クロム化合物</t>
    <rPh sb="0" eb="2">
      <t>ロッカ</t>
    </rPh>
    <rPh sb="5" eb="8">
      <t>カゴウブツ</t>
    </rPh>
    <phoneticPr fontId="6"/>
  </si>
  <si>
    <t>亜鉛及びその化合物</t>
    <rPh sb="0" eb="2">
      <t>アエン</t>
    </rPh>
    <rPh sb="2" eb="3">
      <t>オヨ</t>
    </rPh>
    <rPh sb="6" eb="9">
      <t>カゴウブツ</t>
    </rPh>
    <phoneticPr fontId="6"/>
  </si>
  <si>
    <t>アルミニウム及びその化合物</t>
    <rPh sb="6" eb="7">
      <t>オヨ</t>
    </rPh>
    <rPh sb="10" eb="13">
      <t>カゴウブツ</t>
    </rPh>
    <phoneticPr fontId="6"/>
  </si>
  <si>
    <t>鉄及びその化合物</t>
    <rPh sb="0" eb="1">
      <t>テツ</t>
    </rPh>
    <rPh sb="1" eb="2">
      <t>オヨ</t>
    </rPh>
    <rPh sb="5" eb="8">
      <t>カゴウブツ</t>
    </rPh>
    <phoneticPr fontId="6"/>
  </si>
  <si>
    <t>０．３mg/l以下</t>
    <rPh sb="7" eb="9">
      <t>イカ</t>
    </rPh>
    <phoneticPr fontId="6"/>
  </si>
  <si>
    <t>銅及びその化合物</t>
    <rPh sb="0" eb="1">
      <t>ドウ</t>
    </rPh>
    <rPh sb="1" eb="2">
      <t>オヨ</t>
    </rPh>
    <rPh sb="5" eb="8">
      <t>カゴウブツ</t>
    </rPh>
    <phoneticPr fontId="6"/>
  </si>
  <si>
    <t>四塩化炭素</t>
    <rPh sb="0" eb="1">
      <t>シ</t>
    </rPh>
    <rPh sb="1" eb="3">
      <t>エンカ</t>
    </rPh>
    <rPh sb="3" eb="5">
      <t>タンソ</t>
    </rPh>
    <phoneticPr fontId="6"/>
  </si>
  <si>
    <t>０．００２mg/l以下</t>
    <rPh sb="9" eb="11">
      <t>イカ</t>
    </rPh>
    <phoneticPr fontId="6"/>
  </si>
  <si>
    <t>地下水を水源とする場合は、近傍の地下水の状況も勘案する。</t>
    <rPh sb="0" eb="3">
      <t>チカスイ</t>
    </rPh>
    <rPh sb="4" eb="6">
      <t>スイゲン</t>
    </rPh>
    <rPh sb="9" eb="11">
      <t>バアイ</t>
    </rPh>
    <rPh sb="13" eb="15">
      <t>キンボウ</t>
    </rPh>
    <rPh sb="16" eb="19">
      <t>チカスイ</t>
    </rPh>
    <rPh sb="20" eb="22">
      <t>ジョウキョウ</t>
    </rPh>
    <rPh sb="23" eb="25">
      <t>カンアン</t>
    </rPh>
    <phoneticPr fontId="6"/>
  </si>
  <si>
    <t>１，４－ジオキサン</t>
    <phoneticPr fontId="6"/>
  </si>
  <si>
    <t>シスー１，２－ジクロロエチレン及び
トランス－１，２－ジクロロエチレン</t>
    <rPh sb="15" eb="16">
      <t>オヨ</t>
    </rPh>
    <phoneticPr fontId="6"/>
  </si>
  <si>
    <t>ジクロロメタン</t>
    <phoneticPr fontId="6"/>
  </si>
  <si>
    <t>テトラクロロエチレン</t>
    <phoneticPr fontId="6"/>
  </si>
  <si>
    <t>トリクロロエチレン</t>
    <phoneticPr fontId="6"/>
  </si>
  <si>
    <t>ベンゼン</t>
    <phoneticPr fontId="6"/>
  </si>
  <si>
    <t>（４Ｓ、４ａＳ、８ａＲ）－オクタヒドロ－４，８ａージメチルナフタレンー４ａ（２Ｈ）ーオール（別名ジェオスミン）</t>
    <rPh sb="46" eb="48">
      <t>ベツメイ</t>
    </rPh>
    <phoneticPr fontId="6"/>
  </si>
  <si>
    <t>０．００００１mg/l以下</t>
    <rPh sb="11" eb="13">
      <t>イカ</t>
    </rPh>
    <phoneticPr fontId="6"/>
  </si>
  <si>
    <t>左記の事項を産出する藻類の発生が少なく、検査を行う必要がないことが明らかであると認められる期間を除く。</t>
    <rPh sb="0" eb="2">
      <t>サキ</t>
    </rPh>
    <rPh sb="3" eb="5">
      <t>ジコウ</t>
    </rPh>
    <rPh sb="6" eb="8">
      <t>サンシュツ</t>
    </rPh>
    <rPh sb="10" eb="12">
      <t>モルイ</t>
    </rPh>
    <rPh sb="13" eb="15">
      <t>ハッセイ</t>
    </rPh>
    <rPh sb="16" eb="17">
      <t>スク</t>
    </rPh>
    <rPh sb="20" eb="22">
      <t>ケンサ</t>
    </rPh>
    <rPh sb="23" eb="24">
      <t>オコナ</t>
    </rPh>
    <rPh sb="25" eb="27">
      <t>ヒツヨウ</t>
    </rPh>
    <rPh sb="33" eb="34">
      <t>アキ</t>
    </rPh>
    <rPh sb="40" eb="41">
      <t>ミト</t>
    </rPh>
    <rPh sb="45" eb="47">
      <t>キカン</t>
    </rPh>
    <rPh sb="48" eb="49">
      <t>ノゾ</t>
    </rPh>
    <phoneticPr fontId="6"/>
  </si>
  <si>
    <t>停滞水を水源とする場合は、藻類の発生状況も勘案する。</t>
    <rPh sb="0" eb="2">
      <t>テイタイ</t>
    </rPh>
    <rPh sb="2" eb="3">
      <t>スイ</t>
    </rPh>
    <rPh sb="4" eb="6">
      <t>スイゲン</t>
    </rPh>
    <rPh sb="9" eb="11">
      <t>バアイ</t>
    </rPh>
    <rPh sb="13" eb="15">
      <t>モルイ</t>
    </rPh>
    <rPh sb="16" eb="18">
      <t>ハッセイ</t>
    </rPh>
    <rPh sb="18" eb="20">
      <t>ジョウキョウ</t>
    </rPh>
    <rPh sb="21" eb="23">
      <t>カンアン</t>
    </rPh>
    <phoneticPr fontId="6"/>
  </si>
  <si>
    <t>１，２，７，７－テトラメチルビシクロ[２，２，１]ヘプタンー２－オール（別名２ーメチルイソボルネオール）</t>
    <rPh sb="36" eb="38">
      <t>ベツメイ</t>
    </rPh>
    <phoneticPr fontId="6"/>
  </si>
  <si>
    <t>注１：</t>
    <rPh sb="0" eb="1">
      <t>チュウ</t>
    </rPh>
    <phoneticPr fontId="6"/>
  </si>
  <si>
    <t>省略した項目については、３年に１回程度は、確認のため検査を実施すること。（厚生労働省通知）</t>
    <rPh sb="0" eb="2">
      <t>ショウリャク</t>
    </rPh>
    <rPh sb="4" eb="6">
      <t>コウモク</t>
    </rPh>
    <rPh sb="13" eb="14">
      <t>ネン</t>
    </rPh>
    <rPh sb="16" eb="19">
      <t>カイテイド</t>
    </rPh>
    <rPh sb="21" eb="23">
      <t>カクニン</t>
    </rPh>
    <rPh sb="26" eb="28">
      <t>ケンサ</t>
    </rPh>
    <rPh sb="29" eb="31">
      <t>ジッシ</t>
    </rPh>
    <rPh sb="37" eb="39">
      <t>コウセイ</t>
    </rPh>
    <rPh sb="39" eb="42">
      <t>ロウドウショウ</t>
    </rPh>
    <rPh sb="42" eb="44">
      <t>ツウチ</t>
    </rPh>
    <phoneticPr fontId="6"/>
  </si>
  <si>
    <t>注２：</t>
    <rPh sb="0" eb="1">
      <t>チュウ</t>
    </rPh>
    <phoneticPr fontId="6"/>
  </si>
  <si>
    <t>原水の検査についても全項目検査（消毒副生成物：１１項目、味を除く。）を年１回は実施すること。（厚生労働省通知）</t>
    <rPh sb="0" eb="2">
      <t>ゲンスイ</t>
    </rPh>
    <rPh sb="3" eb="5">
      <t>ケンサ</t>
    </rPh>
    <rPh sb="10" eb="13">
      <t>ゼンコウモク</t>
    </rPh>
    <rPh sb="13" eb="15">
      <t>ケンサ</t>
    </rPh>
    <rPh sb="16" eb="18">
      <t>ショウドク</t>
    </rPh>
    <rPh sb="18" eb="22">
      <t>フクセイセイブツ</t>
    </rPh>
    <rPh sb="25" eb="27">
      <t>コウモク</t>
    </rPh>
    <rPh sb="28" eb="29">
      <t>アジ</t>
    </rPh>
    <rPh sb="30" eb="31">
      <t>ノゾ</t>
    </rPh>
    <rPh sb="35" eb="36">
      <t>ネン</t>
    </rPh>
    <rPh sb="37" eb="38">
      <t>カイ</t>
    </rPh>
    <rPh sb="39" eb="41">
      <t>ジッシ</t>
    </rPh>
    <rPh sb="47" eb="49">
      <t>コウセイ</t>
    </rPh>
    <rPh sb="49" eb="52">
      <t>ロウドウショウ</t>
    </rPh>
    <rPh sb="52" eb="54">
      <t>ツウチ</t>
    </rPh>
    <phoneticPr fontId="6"/>
  </si>
  <si>
    <t>注３：</t>
    <rPh sb="0" eb="1">
      <t>チュウ</t>
    </rPh>
    <phoneticPr fontId="6"/>
  </si>
  <si>
    <t>水質管理目標設定項目等についても必要に応じ実施すること。（厚生労働省通知）</t>
    <rPh sb="0" eb="2">
      <t>スイシツ</t>
    </rPh>
    <rPh sb="2" eb="4">
      <t>カンリ</t>
    </rPh>
    <rPh sb="4" eb="6">
      <t>モクヒョウ</t>
    </rPh>
    <rPh sb="6" eb="8">
      <t>セッテイ</t>
    </rPh>
    <rPh sb="8" eb="10">
      <t>コウモク</t>
    </rPh>
    <rPh sb="10" eb="11">
      <t>トウ</t>
    </rPh>
    <rPh sb="16" eb="18">
      <t>ヒツヨウ</t>
    </rPh>
    <rPh sb="19" eb="20">
      <t>オウ</t>
    </rPh>
    <rPh sb="21" eb="23">
      <t>ジッシ</t>
    </rPh>
    <rPh sb="29" eb="31">
      <t>コウセイ</t>
    </rPh>
    <rPh sb="31" eb="34">
      <t>ロウドウショウ</t>
    </rPh>
    <rPh sb="34" eb="36">
      <t>ツウチ</t>
    </rPh>
    <phoneticPr fontId="6"/>
  </si>
  <si>
    <r>
      <t>　</t>
    </r>
    <r>
      <rPr>
        <u/>
        <sz val="9"/>
        <rFont val="ＭＳ Ｐゴシック"/>
        <family val="3"/>
        <charset val="128"/>
      </rPr>
      <t>指定による規制</t>
    </r>
    <r>
      <rPr>
        <sz val="9"/>
        <rFont val="ＭＳ Ｐゴシック"/>
        <family val="3"/>
        <charset val="128"/>
      </rPr>
      <t xml:space="preserve">
　　地区内における次の行為をしようとする場合は、あらかじめ知事に協議し、その同意を得なければなりません。
　　(１)ゴルフ場の建設　　(２)廃棄物の最終処分場の設置　　(３)１ｈａを超える土石類の採取等の土地の形質の変更</t>
    </r>
    <phoneticPr fontId="6"/>
  </si>
  <si>
    <t>広域名</t>
    <rPh sb="0" eb="2">
      <t>コウイキ</t>
    </rPh>
    <rPh sb="2" eb="3">
      <t>メイ</t>
    </rPh>
    <phoneticPr fontId="6"/>
  </si>
  <si>
    <t>市町村名</t>
    <rPh sb="0" eb="3">
      <t>シチョウソン</t>
    </rPh>
    <rPh sb="3" eb="4">
      <t>メイ</t>
    </rPh>
    <phoneticPr fontId="6"/>
  </si>
  <si>
    <t>保全地区名</t>
    <rPh sb="0" eb="2">
      <t>ホゼン</t>
    </rPh>
    <rPh sb="2" eb="5">
      <t>チクメイ</t>
    </rPh>
    <phoneticPr fontId="6"/>
  </si>
  <si>
    <t>面積
(ha)</t>
    <rPh sb="0" eb="2">
      <t>メンセキ</t>
    </rPh>
    <phoneticPr fontId="6"/>
  </si>
  <si>
    <t>指定年月日</t>
    <rPh sb="0" eb="2">
      <t>シテイ</t>
    </rPh>
    <rPh sb="2" eb="3">
      <t>ネン</t>
    </rPh>
    <rPh sb="3" eb="5">
      <t>ガッピ</t>
    </rPh>
    <phoneticPr fontId="6"/>
  </si>
  <si>
    <t>指定
年度</t>
    <rPh sb="0" eb="2">
      <t>シテイ</t>
    </rPh>
    <rPh sb="3" eb="5">
      <t>ネンド</t>
    </rPh>
    <phoneticPr fontId="6"/>
  </si>
  <si>
    <t>佐久</t>
    <rPh sb="0" eb="1">
      <t>タスク</t>
    </rPh>
    <rPh sb="1" eb="2">
      <t>ヒサシ</t>
    </rPh>
    <phoneticPr fontId="6"/>
  </si>
  <si>
    <t>南牧村</t>
    <rPh sb="0" eb="3">
      <t>ミナミマキムラ</t>
    </rPh>
    <phoneticPr fontId="6"/>
  </si>
  <si>
    <t>所沢水道水源保全地区</t>
    <rPh sb="0" eb="2">
      <t>トコロザワ</t>
    </rPh>
    <rPh sb="2" eb="10">
      <t>ス</t>
    </rPh>
    <phoneticPr fontId="6"/>
  </si>
  <si>
    <t>6.10.6</t>
    <phoneticPr fontId="6"/>
  </si>
  <si>
    <t>H</t>
  </si>
  <si>
    <t>北相木村</t>
    <rPh sb="0" eb="4">
      <t>キタアイキムラ</t>
    </rPh>
    <phoneticPr fontId="6"/>
  </si>
  <si>
    <t>横屋沢水道水源保全地区</t>
    <rPh sb="0" eb="2">
      <t>ヨコヤ</t>
    </rPh>
    <rPh sb="2" eb="3">
      <t>ザワ</t>
    </rPh>
    <rPh sb="3" eb="5">
      <t>スイドウ</t>
    </rPh>
    <rPh sb="5" eb="7">
      <t>スイゲン</t>
    </rPh>
    <rPh sb="7" eb="9">
      <t>ホゼン</t>
    </rPh>
    <rPh sb="9" eb="11">
      <t>チク</t>
    </rPh>
    <phoneticPr fontId="6"/>
  </si>
  <si>
    <t>8.2.22</t>
    <phoneticPr fontId="6"/>
  </si>
  <si>
    <t>寄沢水道水源保全地区</t>
    <rPh sb="0" eb="1">
      <t>ヨ</t>
    </rPh>
    <rPh sb="1" eb="2">
      <t>サワ</t>
    </rPh>
    <rPh sb="2" eb="4">
      <t>スイドウ</t>
    </rPh>
    <rPh sb="4" eb="6">
      <t>スイゲン</t>
    </rPh>
    <rPh sb="6" eb="8">
      <t>ホゼン</t>
    </rPh>
    <rPh sb="8" eb="10">
      <t>チク</t>
    </rPh>
    <phoneticPr fontId="6"/>
  </si>
  <si>
    <t>13.8.27</t>
    <phoneticPr fontId="6"/>
  </si>
  <si>
    <t>上小</t>
    <rPh sb="0" eb="1">
      <t>ウエ</t>
    </rPh>
    <rPh sb="1" eb="2">
      <t>コ</t>
    </rPh>
    <phoneticPr fontId="6"/>
  </si>
  <si>
    <t>余里水道水源保全地区</t>
    <rPh sb="0" eb="1">
      <t>よ</t>
    </rPh>
    <rPh sb="1" eb="2">
      <t>り</t>
    </rPh>
    <phoneticPr fontId="71" type="Hiragana" alignment="center"/>
  </si>
  <si>
    <t>8.9.30</t>
    <phoneticPr fontId="6"/>
  </si>
  <si>
    <t>長和町</t>
    <rPh sb="0" eb="2">
      <t>ナガワ</t>
    </rPh>
    <rPh sb="2" eb="3">
      <t>マチ</t>
    </rPh>
    <phoneticPr fontId="6"/>
  </si>
  <si>
    <t>大沢水道水源保全地区</t>
    <rPh sb="0" eb="2">
      <t>オオサワ</t>
    </rPh>
    <rPh sb="2" eb="10">
      <t>ス</t>
    </rPh>
    <phoneticPr fontId="6"/>
  </si>
  <si>
    <t>上組水道水源保全地区</t>
    <rPh sb="0" eb="1">
      <t>ウエ</t>
    </rPh>
    <rPh sb="1" eb="2">
      <t>クミ</t>
    </rPh>
    <rPh sb="2" eb="10">
      <t>ス</t>
    </rPh>
    <phoneticPr fontId="6"/>
  </si>
  <si>
    <t>9.2.27</t>
    <phoneticPr fontId="6"/>
  </si>
  <si>
    <t>北沢水道水源保全地区</t>
    <rPh sb="0" eb="2">
      <t>キタザワ</t>
    </rPh>
    <rPh sb="2" eb="10">
      <t>ス</t>
    </rPh>
    <phoneticPr fontId="6"/>
  </si>
  <si>
    <t>青木村</t>
    <rPh sb="0" eb="3">
      <t>アオキムラ</t>
    </rPh>
    <phoneticPr fontId="6"/>
  </si>
  <si>
    <t>田沢水道水源保全地区</t>
    <rPh sb="0" eb="2">
      <t>タザワ</t>
    </rPh>
    <rPh sb="2" eb="10">
      <t>ス</t>
    </rPh>
    <phoneticPr fontId="6"/>
  </si>
  <si>
    <t>7.9.21</t>
  </si>
  <si>
    <t>臼川水道水源保全地区</t>
    <rPh sb="0" eb="1">
      <t>ウス</t>
    </rPh>
    <rPh sb="1" eb="2">
      <t>カワ</t>
    </rPh>
    <rPh sb="2" eb="10">
      <t>ス</t>
    </rPh>
    <phoneticPr fontId="6"/>
  </si>
  <si>
    <t>11.3.29</t>
    <phoneticPr fontId="6"/>
  </si>
  <si>
    <t>猪鹿水道水源保全地区</t>
    <rPh sb="0" eb="1">
      <t>い</t>
    </rPh>
    <rPh sb="1" eb="2">
      <t>ろく</t>
    </rPh>
    <phoneticPr fontId="71" type="Hiragana" alignment="center"/>
  </si>
  <si>
    <t>12.3.9</t>
    <phoneticPr fontId="6"/>
  </si>
  <si>
    <t xml:space="preserve">    駒ヶ根市</t>
    <rPh sb="4" eb="8">
      <t>コマガネシ</t>
    </rPh>
    <phoneticPr fontId="6"/>
  </si>
  <si>
    <t>吉瀬水道水源保全地区</t>
    <rPh sb="0" eb="2">
      <t>キチセ</t>
    </rPh>
    <rPh sb="2" eb="10">
      <t>ス</t>
    </rPh>
    <phoneticPr fontId="6"/>
  </si>
  <si>
    <t>H</t>
    <phoneticPr fontId="6"/>
  </si>
  <si>
    <t>大曽倉水道水源保全地区</t>
    <rPh sb="0" eb="1">
      <t>オオ</t>
    </rPh>
    <rPh sb="1" eb="2">
      <t>ソ</t>
    </rPh>
    <rPh sb="2" eb="3">
      <t>クラ</t>
    </rPh>
    <rPh sb="3" eb="11">
      <t>ス</t>
    </rPh>
    <phoneticPr fontId="6"/>
  </si>
  <si>
    <t>中山水道水源保全地区</t>
    <rPh sb="0" eb="2">
      <t>ナカヤマ</t>
    </rPh>
    <rPh sb="2" eb="10">
      <t>ス</t>
    </rPh>
    <phoneticPr fontId="6"/>
  </si>
  <si>
    <t>中曽倉水道水源保全地区</t>
    <rPh sb="0" eb="1">
      <t>ナカ</t>
    </rPh>
    <rPh sb="1" eb="2">
      <t>ソ</t>
    </rPh>
    <rPh sb="2" eb="3">
      <t>グラ</t>
    </rPh>
    <rPh sb="3" eb="11">
      <t>ス</t>
    </rPh>
    <phoneticPr fontId="6"/>
  </si>
  <si>
    <t>上割水道水源保全地区</t>
    <rPh sb="0" eb="1">
      <t>ウエ</t>
    </rPh>
    <rPh sb="1" eb="2">
      <t>ワ</t>
    </rPh>
    <rPh sb="2" eb="10">
      <t>ス</t>
    </rPh>
    <phoneticPr fontId="6"/>
  </si>
  <si>
    <t>北割水道水源保全地区</t>
    <rPh sb="0" eb="1">
      <t>キタ</t>
    </rPh>
    <rPh sb="1" eb="2">
      <t>ワリ</t>
    </rPh>
    <rPh sb="2" eb="4">
      <t>スイドウ</t>
    </rPh>
    <rPh sb="4" eb="6">
      <t>スイゲン</t>
    </rPh>
    <rPh sb="6" eb="8">
      <t>ホゼン</t>
    </rPh>
    <rPh sb="8" eb="10">
      <t>チク</t>
    </rPh>
    <phoneticPr fontId="6"/>
  </si>
  <si>
    <t>辰野町</t>
    <rPh sb="0" eb="2">
      <t>タツノ</t>
    </rPh>
    <rPh sb="2" eb="3">
      <t>マチ</t>
    </rPh>
    <phoneticPr fontId="6"/>
  </si>
  <si>
    <t>12.3.9</t>
  </si>
  <si>
    <t>山ノ田水道水源保全地区</t>
    <rPh sb="0" eb="1">
      <t>ヤマ</t>
    </rPh>
    <rPh sb="2" eb="3">
      <t>タ</t>
    </rPh>
    <rPh sb="3" eb="11">
      <t>ス</t>
    </rPh>
    <phoneticPr fontId="6"/>
  </si>
  <si>
    <t>11.12.9</t>
  </si>
  <si>
    <t>飯伊</t>
    <rPh sb="0" eb="1">
      <t>メシ</t>
    </rPh>
    <rPh sb="1" eb="2">
      <t>イ</t>
    </rPh>
    <phoneticPr fontId="6"/>
  </si>
  <si>
    <t>水荒沢水道水源保全地区</t>
    <rPh sb="0" eb="1">
      <t>みず</t>
    </rPh>
    <rPh sb="1" eb="2">
      <t>あらし</t>
    </rPh>
    <rPh sb="2" eb="3">
      <t>さわ</t>
    </rPh>
    <phoneticPr fontId="71" type="Hiragana"/>
  </si>
  <si>
    <t>6.2.28</t>
    <phoneticPr fontId="6"/>
  </si>
  <si>
    <t>金七沢水道水源保全地区</t>
    <rPh sb="0" eb="1">
      <t>カネ</t>
    </rPh>
    <rPh sb="1" eb="2">
      <t>シチ</t>
    </rPh>
    <rPh sb="2" eb="3">
      <t>サワ</t>
    </rPh>
    <rPh sb="3" eb="11">
      <t>ス</t>
    </rPh>
    <phoneticPr fontId="6"/>
  </si>
  <si>
    <t>9.5.29</t>
    <phoneticPr fontId="6"/>
  </si>
  <si>
    <t>長九郎沢水道水源保全地区</t>
    <rPh sb="0" eb="1">
      <t>チョウ</t>
    </rPh>
    <rPh sb="1" eb="2">
      <t>キュウ</t>
    </rPh>
    <rPh sb="2" eb="3">
      <t>ロウ</t>
    </rPh>
    <rPh sb="3" eb="4">
      <t>サワ</t>
    </rPh>
    <rPh sb="4" eb="12">
      <t>ス</t>
    </rPh>
    <phoneticPr fontId="6"/>
  </si>
  <si>
    <t>7.2.13</t>
  </si>
  <si>
    <t>大松沢水道水源保全地区</t>
    <rPh sb="0" eb="1">
      <t>ダイ</t>
    </rPh>
    <rPh sb="1" eb="2">
      <t>マツ</t>
    </rPh>
    <rPh sb="2" eb="3">
      <t>サワ</t>
    </rPh>
    <rPh sb="3" eb="11">
      <t>ス</t>
    </rPh>
    <phoneticPr fontId="6"/>
  </si>
  <si>
    <t>根羽村</t>
    <rPh sb="0" eb="2">
      <t>ネバ</t>
    </rPh>
    <rPh sb="2" eb="3">
      <t>ムラ</t>
    </rPh>
    <phoneticPr fontId="6"/>
  </si>
  <si>
    <t>萸野水道水源保全地区</t>
    <rPh sb="1" eb="2">
      <t>ぐみの</t>
    </rPh>
    <phoneticPr fontId="71" type="Hiragana" alignment="distributed"/>
  </si>
  <si>
    <t>岩倉水道水源保全地区</t>
    <rPh sb="0" eb="2">
      <t>イワクラ</t>
    </rPh>
    <rPh sb="2" eb="10">
      <t>ス</t>
    </rPh>
    <phoneticPr fontId="6"/>
  </si>
  <si>
    <t>12.7.27</t>
  </si>
  <si>
    <t>風吹山水道水源保全地区</t>
    <rPh sb="0" eb="1">
      <t>カゼ</t>
    </rPh>
    <rPh sb="1" eb="2">
      <t>フ</t>
    </rPh>
    <rPh sb="2" eb="3">
      <t>ヤマ</t>
    </rPh>
    <rPh sb="3" eb="11">
      <t>ス</t>
    </rPh>
    <phoneticPr fontId="6"/>
  </si>
  <si>
    <t>南木曽町</t>
    <rPh sb="0" eb="4">
      <t>ナギソマチ</t>
    </rPh>
    <phoneticPr fontId="6"/>
  </si>
  <si>
    <t>妻籠水道水源保全地区</t>
    <rPh sb="0" eb="1">
      <t>ツマ</t>
    </rPh>
    <rPh sb="1" eb="2">
      <t>カゴ</t>
    </rPh>
    <rPh sb="2" eb="10">
      <t>ス</t>
    </rPh>
    <phoneticPr fontId="6"/>
  </si>
  <si>
    <t>岩井ノ沢水道水源保全地区</t>
    <rPh sb="0" eb="2">
      <t>イワイ</t>
    </rPh>
    <rPh sb="3" eb="4">
      <t>サワ</t>
    </rPh>
    <rPh sb="4" eb="12">
      <t>ス</t>
    </rPh>
    <phoneticPr fontId="6"/>
  </si>
  <si>
    <t>桧尾水道水源保全地区</t>
    <rPh sb="0" eb="1">
      <t>ヒノキ</t>
    </rPh>
    <rPh sb="1" eb="2">
      <t>オ</t>
    </rPh>
    <rPh sb="2" eb="10">
      <t>ス</t>
    </rPh>
    <phoneticPr fontId="6"/>
  </si>
  <si>
    <t>塩沢水道水源保全地区</t>
    <rPh sb="0" eb="2">
      <t>シオザワ</t>
    </rPh>
    <rPh sb="2" eb="4">
      <t>スイドウ</t>
    </rPh>
    <rPh sb="4" eb="6">
      <t>スイゲン</t>
    </rPh>
    <rPh sb="6" eb="8">
      <t>ホゼン</t>
    </rPh>
    <rPh sb="8" eb="10">
      <t>チク</t>
    </rPh>
    <phoneticPr fontId="6"/>
  </si>
  <si>
    <t>大桑村</t>
    <rPh sb="0" eb="3">
      <t>オオクワムラ</t>
    </rPh>
    <phoneticPr fontId="6"/>
  </si>
  <si>
    <t>木村沢水道水源保全地区</t>
    <rPh sb="0" eb="2">
      <t>キムラ</t>
    </rPh>
    <rPh sb="2" eb="3">
      <t>サワ</t>
    </rPh>
    <rPh sb="3" eb="11">
      <t>ス</t>
    </rPh>
    <phoneticPr fontId="6"/>
  </si>
  <si>
    <t>10.1.29</t>
    <phoneticPr fontId="6"/>
  </si>
  <si>
    <t>野尻水道水源保全地区</t>
    <rPh sb="0" eb="2">
      <t>ノジリ</t>
    </rPh>
    <rPh sb="2" eb="10">
      <t>ス</t>
    </rPh>
    <phoneticPr fontId="6"/>
  </si>
  <si>
    <t>13.2.15</t>
    <phoneticPr fontId="6"/>
  </si>
  <si>
    <t>松本</t>
    <rPh sb="0" eb="1">
      <t>マツ</t>
    </rPh>
    <rPh sb="1" eb="2">
      <t>ホン</t>
    </rPh>
    <phoneticPr fontId="6"/>
  </si>
  <si>
    <t>黒沢水道水源保全地区</t>
    <rPh sb="0" eb="2">
      <t>クロサワ</t>
    </rPh>
    <rPh sb="2" eb="10">
      <t>ス</t>
    </rPh>
    <phoneticPr fontId="6"/>
  </si>
  <si>
    <t>7.2.13</t>
    <phoneticPr fontId="6"/>
  </si>
  <si>
    <t>筑北村</t>
    <rPh sb="0" eb="1">
      <t>チク</t>
    </rPh>
    <rPh sb="1" eb="3">
      <t>キタムラ</t>
    </rPh>
    <phoneticPr fontId="6"/>
  </si>
  <si>
    <t>四阿屋水道水源保全地区</t>
    <rPh sb="0" eb="2">
      <t>あずま</t>
    </rPh>
    <rPh sb="2" eb="3">
      <t>や</t>
    </rPh>
    <phoneticPr fontId="71" type="Hiragana" alignment="distributed"/>
  </si>
  <si>
    <t>7.9.21</t>
    <phoneticPr fontId="6"/>
  </si>
  <si>
    <t>大北</t>
    <rPh sb="0" eb="1">
      <t>ダイ</t>
    </rPh>
    <rPh sb="1" eb="2">
      <t>キタ</t>
    </rPh>
    <phoneticPr fontId="6"/>
  </si>
  <si>
    <t>一津水道水源保全地区</t>
    <rPh sb="0" eb="1">
      <t>イチ</t>
    </rPh>
    <rPh sb="1" eb="2">
      <t>ツ</t>
    </rPh>
    <rPh sb="2" eb="10">
      <t>ス</t>
    </rPh>
    <phoneticPr fontId="6"/>
  </si>
  <si>
    <t>12.7.27</t>
    <phoneticPr fontId="6"/>
  </si>
  <si>
    <t>大清水水道水源保全地区</t>
    <rPh sb="0" eb="1">
      <t>ダイ</t>
    </rPh>
    <rPh sb="1" eb="3">
      <t>シミズ</t>
    </rPh>
    <rPh sb="3" eb="11">
      <t>ス</t>
    </rPh>
    <phoneticPr fontId="6"/>
  </si>
  <si>
    <t>5.8.5</t>
    <phoneticPr fontId="6"/>
  </si>
  <si>
    <t>左右水道水源保全地区</t>
    <rPh sb="0" eb="2">
      <t>　そ　う</t>
    </rPh>
    <phoneticPr fontId="71" type="Hiragana" alignment="distributed"/>
  </si>
  <si>
    <t>10.11.19</t>
  </si>
  <si>
    <t>尾倉沢水道水源保全地区</t>
    <rPh sb="0" eb="1">
      <t>オ</t>
    </rPh>
    <rPh sb="1" eb="3">
      <t>クラサワ</t>
    </rPh>
    <rPh sb="3" eb="11">
      <t>ス</t>
    </rPh>
    <phoneticPr fontId="6"/>
  </si>
  <si>
    <t>11.12.9</t>
    <phoneticPr fontId="6"/>
  </si>
  <si>
    <t>下祖山水道水源保全地区</t>
    <rPh sb="0" eb="1">
      <t>シモ</t>
    </rPh>
    <rPh sb="1" eb="3">
      <t>ソヤマ</t>
    </rPh>
    <rPh sb="3" eb="11">
      <t>ス</t>
    </rPh>
    <phoneticPr fontId="6"/>
  </si>
  <si>
    <t>13.10.9</t>
    <phoneticPr fontId="6"/>
  </si>
  <si>
    <t>須坂市</t>
    <rPh sb="0" eb="2">
      <t>スザカ</t>
    </rPh>
    <rPh sb="2" eb="3">
      <t>シ</t>
    </rPh>
    <phoneticPr fontId="6"/>
  </si>
  <si>
    <t>豊丘水道水源保全地区</t>
    <rPh sb="0" eb="2">
      <t>トヨオカ</t>
    </rPh>
    <rPh sb="2" eb="10">
      <t>ス</t>
    </rPh>
    <phoneticPr fontId="6"/>
  </si>
  <si>
    <t>5.8.5</t>
  </si>
  <si>
    <t>鞠子水道水源保全地区</t>
    <rPh sb="0" eb="2">
      <t>マリコ</t>
    </rPh>
    <rPh sb="2" eb="10">
      <t>ス</t>
    </rPh>
    <phoneticPr fontId="6"/>
  </si>
  <si>
    <t>屋知水道水源保全地区</t>
    <rPh sb="0" eb="1">
      <t>や</t>
    </rPh>
    <rPh sb="1" eb="2">
      <t>ち</t>
    </rPh>
    <phoneticPr fontId="71" type="Hiragana" alignment="center"/>
  </si>
  <si>
    <t>防風沢水道水源保全地区</t>
    <rPh sb="0" eb="2">
      <t>ボウフウ</t>
    </rPh>
    <rPh sb="2" eb="3">
      <t>サワ</t>
    </rPh>
    <rPh sb="3" eb="5">
      <t>スイドウ</t>
    </rPh>
    <rPh sb="5" eb="7">
      <t>スイゲン</t>
    </rPh>
    <rPh sb="7" eb="9">
      <t>ホゼン</t>
    </rPh>
    <rPh sb="9" eb="11">
      <t>チク</t>
    </rPh>
    <phoneticPr fontId="6"/>
  </si>
  <si>
    <t>13.10.9</t>
  </si>
  <si>
    <t>油久保水道水源保全地区</t>
    <rPh sb="0" eb="1">
      <t>アブラ</t>
    </rPh>
    <rPh sb="1" eb="3">
      <t>クボ</t>
    </rPh>
    <rPh sb="3" eb="5">
      <t>スイドウ</t>
    </rPh>
    <rPh sb="5" eb="7">
      <t>スイゲン</t>
    </rPh>
    <rPh sb="7" eb="9">
      <t>ホゼン</t>
    </rPh>
    <rPh sb="9" eb="11">
      <t>チク</t>
    </rPh>
    <phoneticPr fontId="6"/>
  </si>
  <si>
    <t>小川村</t>
    <rPh sb="0" eb="2">
      <t>オガワ</t>
    </rPh>
    <rPh sb="2" eb="3">
      <t>ムラ</t>
    </rPh>
    <phoneticPr fontId="6"/>
  </si>
  <si>
    <t>桐山・鳥立水道水源保全地区</t>
    <rPh sb="0" eb="2">
      <t>キリヤマ</t>
    </rPh>
    <rPh sb="3" eb="4">
      <t>トリ</t>
    </rPh>
    <rPh sb="4" eb="5">
      <t>タ</t>
    </rPh>
    <rPh sb="5" eb="13">
      <t>ス</t>
    </rPh>
    <phoneticPr fontId="6"/>
  </si>
  <si>
    <t>北信</t>
    <rPh sb="0" eb="1">
      <t>キタ</t>
    </rPh>
    <rPh sb="1" eb="2">
      <t>シン</t>
    </rPh>
    <phoneticPr fontId="6"/>
  </si>
  <si>
    <t>山ノ内町</t>
    <rPh sb="0" eb="1">
      <t>ヤマ</t>
    </rPh>
    <rPh sb="2" eb="3">
      <t>ウチ</t>
    </rPh>
    <rPh sb="3" eb="4">
      <t>マチ</t>
    </rPh>
    <phoneticPr fontId="6"/>
  </si>
  <si>
    <t>かつら・二の沢水道水源保全地区</t>
    <rPh sb="4" eb="5">
      <t>ニ</t>
    </rPh>
    <rPh sb="6" eb="7">
      <t>サワ</t>
    </rPh>
    <rPh sb="7" eb="15">
      <t>ス</t>
    </rPh>
    <phoneticPr fontId="6"/>
  </si>
  <si>
    <t>27市町村　46地区</t>
    <rPh sb="2" eb="5">
      <t>シチョウソン</t>
    </rPh>
    <rPh sb="8" eb="10">
      <t>チク</t>
    </rPh>
    <phoneticPr fontId="6"/>
  </si>
  <si>
    <t>＊諏訪には保全地区はなし</t>
    <rPh sb="1" eb="3">
      <t>スワ</t>
    </rPh>
    <rPh sb="5" eb="7">
      <t>ホゼン</t>
    </rPh>
    <rPh sb="7" eb="9">
      <t>チク</t>
    </rPh>
    <phoneticPr fontId="6"/>
  </si>
  <si>
    <t>（１）水道水源開発等施設整備費国庫補助金</t>
    <rPh sb="3" eb="4">
      <t>スイ</t>
    </rPh>
    <rPh sb="4" eb="5">
      <t>スイドウ</t>
    </rPh>
    <rPh sb="5" eb="7">
      <t>スイゲン</t>
    </rPh>
    <rPh sb="7" eb="9">
      <t>カイハツ</t>
    </rPh>
    <rPh sb="9" eb="10">
      <t>トウ</t>
    </rPh>
    <rPh sb="10" eb="12">
      <t>シセツ</t>
    </rPh>
    <rPh sb="12" eb="15">
      <t>セイビヒ</t>
    </rPh>
    <rPh sb="15" eb="17">
      <t>コッコ</t>
    </rPh>
    <rPh sb="17" eb="20">
      <t>ホジョキン</t>
    </rPh>
    <phoneticPr fontId="6"/>
  </si>
  <si>
    <t>　ダム等の水道水源施設整備や水源水質の悪化に対処するための高度浄水施設整備事業等について、水道事業及び水道用水供給事業を対象とした補助金。</t>
    <rPh sb="3" eb="4">
      <t>トウ</t>
    </rPh>
    <rPh sb="5" eb="7">
      <t>スイドウ</t>
    </rPh>
    <rPh sb="7" eb="9">
      <t>スイゲン</t>
    </rPh>
    <rPh sb="9" eb="11">
      <t>シセツ</t>
    </rPh>
    <rPh sb="11" eb="13">
      <t>セイビ</t>
    </rPh>
    <rPh sb="14" eb="16">
      <t>スイゲン</t>
    </rPh>
    <rPh sb="16" eb="18">
      <t>スイシツ</t>
    </rPh>
    <rPh sb="19" eb="21">
      <t>アッカ</t>
    </rPh>
    <rPh sb="22" eb="24">
      <t>タイショ</t>
    </rPh>
    <rPh sb="29" eb="31">
      <t>コウド</t>
    </rPh>
    <rPh sb="31" eb="33">
      <t>ジョウスイ</t>
    </rPh>
    <rPh sb="33" eb="35">
      <t>シセツ</t>
    </rPh>
    <rPh sb="35" eb="37">
      <t>セイビ</t>
    </rPh>
    <rPh sb="37" eb="39">
      <t>ジギョウ</t>
    </rPh>
    <rPh sb="39" eb="40">
      <t>トウ</t>
    </rPh>
    <rPh sb="45" eb="47">
      <t>スイドウ</t>
    </rPh>
    <rPh sb="47" eb="49">
      <t>ジギョウ</t>
    </rPh>
    <rPh sb="49" eb="50">
      <t>オヨ</t>
    </rPh>
    <rPh sb="51" eb="53">
      <t>スイドウ</t>
    </rPh>
    <rPh sb="53" eb="55">
      <t>ヨウスイ</t>
    </rPh>
    <rPh sb="55" eb="57">
      <t>キョウキュウ</t>
    </rPh>
    <rPh sb="57" eb="59">
      <t>ジギョウ</t>
    </rPh>
    <rPh sb="60" eb="62">
      <t>タイショウ</t>
    </rPh>
    <rPh sb="65" eb="68">
      <t>ホジョキン</t>
    </rPh>
    <phoneticPr fontId="6"/>
  </si>
  <si>
    <t>区分</t>
    <rPh sb="0" eb="2">
      <t>クブン</t>
    </rPh>
    <phoneticPr fontId="6"/>
  </si>
  <si>
    <t>内容</t>
    <rPh sb="0" eb="2">
      <t>ナイヨウ</t>
    </rPh>
    <phoneticPr fontId="6"/>
  </si>
  <si>
    <t>主な採択基準</t>
    <rPh sb="0" eb="1">
      <t>オモ</t>
    </rPh>
    <rPh sb="2" eb="4">
      <t>サイタク</t>
    </rPh>
    <rPh sb="4" eb="6">
      <t>キジュン</t>
    </rPh>
    <phoneticPr fontId="6"/>
  </si>
  <si>
    <t>水道水源開発施設整備費</t>
    <rPh sb="0" eb="2">
      <t>スイドウ</t>
    </rPh>
    <rPh sb="2" eb="4">
      <t>スイゲン</t>
    </rPh>
    <rPh sb="4" eb="6">
      <t>カイハツ</t>
    </rPh>
    <rPh sb="6" eb="8">
      <t>シセツ</t>
    </rPh>
    <rPh sb="8" eb="11">
      <t>セイビヒ</t>
    </rPh>
    <phoneticPr fontId="6"/>
  </si>
  <si>
    <t>水道の水源開発の用に供する施設の整備</t>
    <rPh sb="0" eb="2">
      <t>スイドウ</t>
    </rPh>
    <rPh sb="3" eb="5">
      <t>スイゲン</t>
    </rPh>
    <rPh sb="5" eb="7">
      <t>カイハツ</t>
    </rPh>
    <rPh sb="8" eb="9">
      <t>ヨウ</t>
    </rPh>
    <rPh sb="10" eb="11">
      <t>キョウ</t>
    </rPh>
    <rPh sb="13" eb="15">
      <t>シセツ</t>
    </rPh>
    <rPh sb="16" eb="18">
      <t>セイビ</t>
    </rPh>
    <phoneticPr fontId="6"/>
  </si>
  <si>
    <t>・</t>
    <phoneticPr fontId="6"/>
  </si>
  <si>
    <t>資本単価が90円/m3（水道事業）、70円/m3（水道用水供給事業）以上であること　等</t>
    <rPh sb="0" eb="2">
      <t>シホン</t>
    </rPh>
    <rPh sb="2" eb="4">
      <t>タンカ</t>
    </rPh>
    <rPh sb="7" eb="8">
      <t>エン</t>
    </rPh>
    <rPh sb="12" eb="14">
      <t>スイドウ</t>
    </rPh>
    <rPh sb="14" eb="16">
      <t>ジギョウ</t>
    </rPh>
    <rPh sb="20" eb="21">
      <t>エン</t>
    </rPh>
    <rPh sb="25" eb="27">
      <t>スイドウ</t>
    </rPh>
    <rPh sb="27" eb="29">
      <t>ヨウスイ</t>
    </rPh>
    <rPh sb="29" eb="31">
      <t>キョウキュウ</t>
    </rPh>
    <rPh sb="31" eb="33">
      <t>ジギョウ</t>
    </rPh>
    <rPh sb="34" eb="36">
      <t>イジョウ</t>
    </rPh>
    <rPh sb="42" eb="43">
      <t>トウ</t>
    </rPh>
    <phoneticPr fontId="6"/>
  </si>
  <si>
    <t>１／３</t>
    <phoneticPr fontId="6"/>
  </si>
  <si>
    <t>１／２</t>
  </si>
  <si>
    <t>遠距離導水等施設整備費</t>
    <rPh sb="0" eb="3">
      <t>エンキョリ</t>
    </rPh>
    <rPh sb="3" eb="5">
      <t>ドウスイ</t>
    </rPh>
    <rPh sb="5" eb="6">
      <t>トウ</t>
    </rPh>
    <rPh sb="6" eb="8">
      <t>シセツ</t>
    </rPh>
    <rPh sb="8" eb="11">
      <t>セイビヒ</t>
    </rPh>
    <phoneticPr fontId="6"/>
  </si>
  <si>
    <t>水路延長７㎞以上の取水、導水施設の整備</t>
    <rPh sb="0" eb="2">
      <t>スイロ</t>
    </rPh>
    <rPh sb="2" eb="4">
      <t>エンチョウ</t>
    </rPh>
    <rPh sb="6" eb="8">
      <t>イジョウ</t>
    </rPh>
    <rPh sb="9" eb="11">
      <t>シュスイ</t>
    </rPh>
    <rPh sb="12" eb="14">
      <t>ドウスイ</t>
    </rPh>
    <rPh sb="14" eb="16">
      <t>シセツ</t>
    </rPh>
    <rPh sb="17" eb="19">
      <t>セイビ</t>
    </rPh>
    <phoneticPr fontId="6"/>
  </si>
  <si>
    <t>水道水源開発施設整備費の国庫補助対象事業と一体のもの</t>
    <rPh sb="0" eb="2">
      <t>スイドウ</t>
    </rPh>
    <rPh sb="2" eb="4">
      <t>スイゲン</t>
    </rPh>
    <rPh sb="4" eb="6">
      <t>カイハツ</t>
    </rPh>
    <rPh sb="6" eb="8">
      <t>シセツ</t>
    </rPh>
    <rPh sb="8" eb="11">
      <t>セイビヒ</t>
    </rPh>
    <rPh sb="12" eb="14">
      <t>コッコ</t>
    </rPh>
    <rPh sb="14" eb="16">
      <t>ホジョ</t>
    </rPh>
    <rPh sb="16" eb="18">
      <t>タイショウ</t>
    </rPh>
    <rPh sb="18" eb="20">
      <t>ジギョウ</t>
    </rPh>
    <rPh sb="21" eb="23">
      <t>イッタイ</t>
    </rPh>
    <phoneticPr fontId="6"/>
  </si>
  <si>
    <t>水道施設機能維持整備費</t>
    <rPh sb="0" eb="2">
      <t>スイドウ</t>
    </rPh>
    <rPh sb="2" eb="4">
      <t>シセツ</t>
    </rPh>
    <rPh sb="4" eb="6">
      <t>キノウ</t>
    </rPh>
    <rPh sb="6" eb="8">
      <t>イジ</t>
    </rPh>
    <rPh sb="8" eb="10">
      <t>セイビ</t>
    </rPh>
    <rPh sb="10" eb="11">
      <t>ヒ</t>
    </rPh>
    <phoneticPr fontId="6"/>
  </si>
  <si>
    <t>浄水施設等への自家発電設備等の整備</t>
    <rPh sb="0" eb="2">
      <t>ジョウスイ</t>
    </rPh>
    <rPh sb="2" eb="4">
      <t>シセツ</t>
    </rPh>
    <rPh sb="4" eb="5">
      <t>トウ</t>
    </rPh>
    <rPh sb="7" eb="9">
      <t>ジカ</t>
    </rPh>
    <rPh sb="9" eb="11">
      <t>ハツデン</t>
    </rPh>
    <rPh sb="11" eb="13">
      <t>セツビ</t>
    </rPh>
    <rPh sb="13" eb="14">
      <t>トウ</t>
    </rPh>
    <rPh sb="15" eb="17">
      <t>セイビ</t>
    </rPh>
    <phoneticPr fontId="6"/>
  </si>
  <si>
    <t>資本単価が90円/m3（水道事業）、70円/m3（水道用水供給事業）以上であること</t>
    <rPh sb="0" eb="2">
      <t>シホン</t>
    </rPh>
    <rPh sb="2" eb="4">
      <t>タンカ</t>
    </rPh>
    <rPh sb="7" eb="8">
      <t>エン</t>
    </rPh>
    <rPh sb="12" eb="14">
      <t>スイドウ</t>
    </rPh>
    <rPh sb="14" eb="16">
      <t>ジギョウ</t>
    </rPh>
    <rPh sb="20" eb="21">
      <t>エン</t>
    </rPh>
    <rPh sb="25" eb="27">
      <t>スイドウ</t>
    </rPh>
    <rPh sb="27" eb="29">
      <t>ヨウスイ</t>
    </rPh>
    <rPh sb="29" eb="31">
      <t>キョウキュウ</t>
    </rPh>
    <rPh sb="31" eb="33">
      <t>ジギョウ</t>
    </rPh>
    <rPh sb="34" eb="36">
      <t>イジョウ</t>
    </rPh>
    <phoneticPr fontId="6"/>
  </si>
  <si>
    <t>（土砂災害対策）浄水施設等が、土砂災害警戒区域内等に位置し、土砂災害により給水停止のおそれが高いこと</t>
    <phoneticPr fontId="6"/>
  </si>
  <si>
    <t>１／４</t>
    <phoneticPr fontId="6"/>
  </si>
  <si>
    <t>（配水場・ポンプ場）上流の浄水施設が、2,000戸以上を受け持つ施設であり、各種災害対策を実施済み又は実施中であること</t>
    <phoneticPr fontId="6"/>
  </si>
  <si>
    <t>高度浄水施設等整備費</t>
    <rPh sb="0" eb="2">
      <t>コウド</t>
    </rPh>
    <rPh sb="2" eb="4">
      <t>ジョウスイ</t>
    </rPh>
    <rPh sb="4" eb="6">
      <t>シセツ</t>
    </rPh>
    <rPh sb="6" eb="7">
      <t>トウ</t>
    </rPh>
    <rPh sb="7" eb="10">
      <t>セイビヒ</t>
    </rPh>
    <phoneticPr fontId="6"/>
  </si>
  <si>
    <t>詳しい採択基準等については、厚生労働省ホームページをご確認ください。</t>
    <rPh sb="0" eb="1">
      <t>クワ</t>
    </rPh>
    <rPh sb="3" eb="5">
      <t>サイタク</t>
    </rPh>
    <rPh sb="5" eb="7">
      <t>キジュン</t>
    </rPh>
    <rPh sb="7" eb="8">
      <t>トウ</t>
    </rPh>
    <rPh sb="14" eb="16">
      <t>コウセイ</t>
    </rPh>
    <rPh sb="16" eb="19">
      <t>ロウドウショウ</t>
    </rPh>
    <rPh sb="27" eb="29">
      <t>カクニン</t>
    </rPh>
    <phoneticPr fontId="6"/>
  </si>
  <si>
    <t>（２）簡易水道施設等施設整備費国庫補助金</t>
    <rPh sb="3" eb="5">
      <t>カンイ</t>
    </rPh>
    <rPh sb="5" eb="7">
      <t>スイドウ</t>
    </rPh>
    <rPh sb="7" eb="9">
      <t>シセツ</t>
    </rPh>
    <rPh sb="9" eb="10">
      <t>トウ</t>
    </rPh>
    <rPh sb="10" eb="12">
      <t>シセツ</t>
    </rPh>
    <rPh sb="12" eb="15">
      <t>セイビヒ</t>
    </rPh>
    <rPh sb="15" eb="17">
      <t>コッコ</t>
    </rPh>
    <rPh sb="17" eb="20">
      <t>ホジョキン</t>
    </rPh>
    <phoneticPr fontId="6"/>
  </si>
  <si>
    <t>水道未普及地域解消事業</t>
    <rPh sb="0" eb="2">
      <t>スイドウ</t>
    </rPh>
    <rPh sb="2" eb="5">
      <t>ミフキュウ</t>
    </rPh>
    <rPh sb="5" eb="7">
      <t>チイキ</t>
    </rPh>
    <rPh sb="7" eb="9">
      <t>カイショウ</t>
    </rPh>
    <rPh sb="9" eb="11">
      <t>ジギョウ</t>
    </rPh>
    <phoneticPr fontId="6"/>
  </si>
  <si>
    <t>新設</t>
    <rPh sb="0" eb="2">
      <t>シンセツ</t>
    </rPh>
    <phoneticPr fontId="6"/>
  </si>
  <si>
    <t>簡易水道事業又は飲料水供給施設を新設する事業</t>
    <rPh sb="0" eb="2">
      <t>カンイ</t>
    </rPh>
    <rPh sb="2" eb="4">
      <t>スイドウ</t>
    </rPh>
    <rPh sb="4" eb="6">
      <t>ジギョウ</t>
    </rPh>
    <rPh sb="6" eb="7">
      <t>マタ</t>
    </rPh>
    <rPh sb="8" eb="11">
      <t>インリョウスイ</t>
    </rPh>
    <rPh sb="11" eb="13">
      <t>キョウキュウ</t>
    </rPh>
    <rPh sb="13" eb="15">
      <t>シセツ</t>
    </rPh>
    <rPh sb="16" eb="18">
      <t>シンセツ</t>
    </rPh>
    <rPh sb="20" eb="22">
      <t>ジギョウ</t>
    </rPh>
    <phoneticPr fontId="6"/>
  </si>
  <si>
    <t>４／10</t>
    <phoneticPr fontId="6"/>
  </si>
  <si>
    <t>等</t>
    <rPh sb="0" eb="1">
      <t>トウ</t>
    </rPh>
    <phoneticPr fontId="6"/>
  </si>
  <si>
    <t>広域簡易水道</t>
    <rPh sb="0" eb="2">
      <t>コウイキ</t>
    </rPh>
    <rPh sb="2" eb="4">
      <t>カンイ</t>
    </rPh>
    <rPh sb="4" eb="6">
      <t>スイドウ</t>
    </rPh>
    <phoneticPr fontId="6"/>
  </si>
  <si>
    <t>連絡管で連絡した5,000人を超える給水人口を有する単一の水道施設を新設する事業</t>
    <rPh sb="0" eb="2">
      <t>レンラク</t>
    </rPh>
    <rPh sb="2" eb="3">
      <t>カン</t>
    </rPh>
    <rPh sb="4" eb="6">
      <t>レンラク</t>
    </rPh>
    <rPh sb="13" eb="14">
      <t>ニン</t>
    </rPh>
    <rPh sb="15" eb="16">
      <t>コ</t>
    </rPh>
    <rPh sb="18" eb="20">
      <t>キュウスイ</t>
    </rPh>
    <rPh sb="20" eb="22">
      <t>ジンコウ</t>
    </rPh>
    <rPh sb="23" eb="24">
      <t>ユウ</t>
    </rPh>
    <rPh sb="26" eb="28">
      <t>タンイツ</t>
    </rPh>
    <rPh sb="29" eb="30">
      <t>ミズ</t>
    </rPh>
    <rPh sb="30" eb="31">
      <t>ミチ</t>
    </rPh>
    <rPh sb="31" eb="33">
      <t>シセツ</t>
    </rPh>
    <rPh sb="34" eb="36">
      <t>シンセツ</t>
    </rPh>
    <rPh sb="38" eb="40">
      <t>ジギョウ</t>
    </rPh>
    <phoneticPr fontId="6"/>
  </si>
  <si>
    <t>簡易水道を布設し得る条件を備えたいくつかの地域の相互間の距離が原則200ｍ以上離れていること　等</t>
    <rPh sb="0" eb="2">
      <t>カンイ</t>
    </rPh>
    <rPh sb="2" eb="4">
      <t>スイドウ</t>
    </rPh>
    <rPh sb="5" eb="7">
      <t>フセツ</t>
    </rPh>
    <rPh sb="8" eb="9">
      <t>エ</t>
    </rPh>
    <rPh sb="10" eb="12">
      <t>ジョウケン</t>
    </rPh>
    <rPh sb="13" eb="14">
      <t>ソナ</t>
    </rPh>
    <rPh sb="21" eb="23">
      <t>チイキ</t>
    </rPh>
    <rPh sb="24" eb="27">
      <t>ソウゴカン</t>
    </rPh>
    <rPh sb="28" eb="30">
      <t>キョリ</t>
    </rPh>
    <rPh sb="31" eb="33">
      <t>ゲンソク</t>
    </rPh>
    <rPh sb="37" eb="39">
      <t>イジョウ</t>
    </rPh>
    <rPh sb="39" eb="40">
      <t>ハナ</t>
    </rPh>
    <rPh sb="47" eb="48">
      <t>ナド</t>
    </rPh>
    <phoneticPr fontId="6"/>
  </si>
  <si>
    <t>飛地区域</t>
    <rPh sb="0" eb="2">
      <t>トビチ</t>
    </rPh>
    <rPh sb="2" eb="4">
      <t>クイキ</t>
    </rPh>
    <phoneticPr fontId="6"/>
  </si>
  <si>
    <t>給水区域外未普及地域への水道施設の整備事業</t>
    <rPh sb="0" eb="2">
      <t>キュウスイ</t>
    </rPh>
    <rPh sb="2" eb="4">
      <t>クイキ</t>
    </rPh>
    <rPh sb="4" eb="5">
      <t>ソト</t>
    </rPh>
    <rPh sb="5" eb="8">
      <t>ミフキュウ</t>
    </rPh>
    <rPh sb="8" eb="10">
      <t>チイキ</t>
    </rPh>
    <rPh sb="12" eb="14">
      <t>スイドウ</t>
    </rPh>
    <rPh sb="14" eb="16">
      <t>シセツ</t>
    </rPh>
    <rPh sb="17" eb="19">
      <t>セイビ</t>
    </rPh>
    <rPh sb="19" eb="21">
      <t>ジギョウ</t>
    </rPh>
    <phoneticPr fontId="6"/>
  </si>
  <si>
    <t>簡易水道等を布設し得る条件を備えた地域において、既存の水道事業の給水区域から原則200ｍ以上離れていること　等</t>
    <rPh sb="0" eb="2">
      <t>カンイ</t>
    </rPh>
    <rPh sb="2" eb="4">
      <t>スイドウ</t>
    </rPh>
    <rPh sb="4" eb="5">
      <t>トウ</t>
    </rPh>
    <rPh sb="6" eb="8">
      <t>フセツ</t>
    </rPh>
    <rPh sb="9" eb="10">
      <t>エ</t>
    </rPh>
    <rPh sb="11" eb="13">
      <t>ジョウケン</t>
    </rPh>
    <rPh sb="14" eb="15">
      <t>ソナ</t>
    </rPh>
    <rPh sb="17" eb="19">
      <t>チイキ</t>
    </rPh>
    <rPh sb="24" eb="26">
      <t>キゾン</t>
    </rPh>
    <rPh sb="27" eb="29">
      <t>スイドウ</t>
    </rPh>
    <rPh sb="29" eb="31">
      <t>ジギョウ</t>
    </rPh>
    <rPh sb="32" eb="34">
      <t>キュウスイ</t>
    </rPh>
    <rPh sb="34" eb="36">
      <t>クイキ</t>
    </rPh>
    <rPh sb="38" eb="40">
      <t>ゲンソク</t>
    </rPh>
    <rPh sb="44" eb="46">
      <t>イジョウ</t>
    </rPh>
    <rPh sb="46" eb="47">
      <t>ハナ</t>
    </rPh>
    <rPh sb="54" eb="55">
      <t>ナド</t>
    </rPh>
    <phoneticPr fontId="6"/>
  </si>
  <si>
    <t>給水区域内無水源</t>
    <rPh sb="0" eb="2">
      <t>キュウスイ</t>
    </rPh>
    <rPh sb="2" eb="4">
      <t>クイキ</t>
    </rPh>
    <rPh sb="4" eb="5">
      <t>ナイ</t>
    </rPh>
    <rPh sb="5" eb="6">
      <t>ム</t>
    </rPh>
    <rPh sb="6" eb="8">
      <t>スイゲン</t>
    </rPh>
    <phoneticPr fontId="6"/>
  </si>
  <si>
    <t>給水区域内未普及地域への水道施設の整備事業</t>
    <rPh sb="0" eb="2">
      <t>キュウスイ</t>
    </rPh>
    <rPh sb="2" eb="4">
      <t>クイキ</t>
    </rPh>
    <rPh sb="4" eb="5">
      <t>ナイ</t>
    </rPh>
    <rPh sb="5" eb="8">
      <t>ミフキュウ</t>
    </rPh>
    <rPh sb="8" eb="10">
      <t>チイキ</t>
    </rPh>
    <rPh sb="12" eb="14">
      <t>スイドウ</t>
    </rPh>
    <rPh sb="14" eb="16">
      <t>シセツ</t>
    </rPh>
    <rPh sb="17" eb="19">
      <t>セイビ</t>
    </rPh>
    <rPh sb="19" eb="21">
      <t>ジギョウ</t>
    </rPh>
    <phoneticPr fontId="6"/>
  </si>
  <si>
    <t>既認可給水区域であって、まだ水道が布設されていない地区に対し、既存の水道事業の給水区域から原則200ｍ以上離れていること　等</t>
    <rPh sb="0" eb="1">
      <t>キ</t>
    </rPh>
    <rPh sb="1" eb="3">
      <t>ニンカ</t>
    </rPh>
    <rPh sb="3" eb="5">
      <t>キュウスイ</t>
    </rPh>
    <rPh sb="5" eb="7">
      <t>クイキ</t>
    </rPh>
    <rPh sb="14" eb="16">
      <t>スイドウ</t>
    </rPh>
    <rPh sb="17" eb="19">
      <t>フセツ</t>
    </rPh>
    <rPh sb="25" eb="27">
      <t>チク</t>
    </rPh>
    <rPh sb="28" eb="29">
      <t>タイ</t>
    </rPh>
    <rPh sb="31" eb="33">
      <t>キゾン</t>
    </rPh>
    <rPh sb="34" eb="36">
      <t>スイドウ</t>
    </rPh>
    <rPh sb="36" eb="38">
      <t>ジギョウ</t>
    </rPh>
    <rPh sb="39" eb="41">
      <t>キュウスイ</t>
    </rPh>
    <rPh sb="41" eb="43">
      <t>クイキ</t>
    </rPh>
    <rPh sb="45" eb="47">
      <t>ゲンソク</t>
    </rPh>
    <rPh sb="51" eb="53">
      <t>イジョウ</t>
    </rPh>
    <rPh sb="53" eb="54">
      <t>ハナ</t>
    </rPh>
    <rPh sb="61" eb="62">
      <t>ナド</t>
    </rPh>
    <phoneticPr fontId="6"/>
  </si>
  <si>
    <t>区域拡張</t>
    <rPh sb="0" eb="2">
      <t>クイキ</t>
    </rPh>
    <rPh sb="2" eb="4">
      <t>カクチョウ</t>
    </rPh>
    <phoneticPr fontId="6"/>
  </si>
  <si>
    <t>簡易水道事業又は飲料水供給施設の給水区域の拡張を行う事業</t>
    <rPh sb="0" eb="2">
      <t>カンイ</t>
    </rPh>
    <rPh sb="2" eb="4">
      <t>スイドウ</t>
    </rPh>
    <rPh sb="4" eb="6">
      <t>ジギョウ</t>
    </rPh>
    <rPh sb="6" eb="7">
      <t>マタ</t>
    </rPh>
    <rPh sb="8" eb="11">
      <t>インリョウスイ</t>
    </rPh>
    <rPh sb="11" eb="13">
      <t>キョウキュウ</t>
    </rPh>
    <rPh sb="13" eb="15">
      <t>シセツ</t>
    </rPh>
    <rPh sb="16" eb="18">
      <t>キュウスイ</t>
    </rPh>
    <rPh sb="18" eb="20">
      <t>クイキ</t>
    </rPh>
    <rPh sb="21" eb="23">
      <t>カクチョウ</t>
    </rPh>
    <rPh sb="24" eb="25">
      <t>オコナ</t>
    </rPh>
    <rPh sb="26" eb="28">
      <t>ジギョウ</t>
    </rPh>
    <phoneticPr fontId="6"/>
  </si>
  <si>
    <t>簡易水道施設については、給水人口10人以上の拡張であること　等</t>
    <rPh sb="0" eb="2">
      <t>カンイ</t>
    </rPh>
    <rPh sb="2" eb="4">
      <t>スイドウ</t>
    </rPh>
    <rPh sb="4" eb="6">
      <t>シセツ</t>
    </rPh>
    <rPh sb="12" eb="14">
      <t>キュウスイ</t>
    </rPh>
    <rPh sb="14" eb="16">
      <t>ジンコウ</t>
    </rPh>
    <rPh sb="18" eb="21">
      <t>ニンイジョウ</t>
    </rPh>
    <rPh sb="22" eb="24">
      <t>カクチョウ</t>
    </rPh>
    <rPh sb="30" eb="31">
      <t>ナド</t>
    </rPh>
    <phoneticPr fontId="6"/>
  </si>
  <si>
    <t>簡易水道再編推進事業</t>
    <rPh sb="0" eb="2">
      <t>カンイ</t>
    </rPh>
    <rPh sb="2" eb="4">
      <t>スイドウ</t>
    </rPh>
    <rPh sb="4" eb="6">
      <t>サイヘン</t>
    </rPh>
    <rPh sb="6" eb="8">
      <t>スイシン</t>
    </rPh>
    <rPh sb="8" eb="10">
      <t>ジギョウ</t>
    </rPh>
    <phoneticPr fontId="6"/>
  </si>
  <si>
    <t>統合簡易水道</t>
    <rPh sb="0" eb="2">
      <t>トウゴウ</t>
    </rPh>
    <rPh sb="2" eb="4">
      <t>カンイ</t>
    </rPh>
    <rPh sb="4" eb="6">
      <t>スイドウ</t>
    </rPh>
    <phoneticPr fontId="6"/>
  </si>
  <si>
    <t>統合簡易水道を整備する事業</t>
    <rPh sb="0" eb="2">
      <t>トウゴウ</t>
    </rPh>
    <rPh sb="2" eb="4">
      <t>カンイ</t>
    </rPh>
    <rPh sb="4" eb="6">
      <t>スイドウ</t>
    </rPh>
    <rPh sb="7" eb="9">
      <t>セイビ</t>
    </rPh>
    <rPh sb="11" eb="13">
      <t>ジギョウ</t>
    </rPh>
    <phoneticPr fontId="6"/>
  </si>
  <si>
    <t>市町村が策定する統合簡易水道施設整備計画に基づく事業であること</t>
    <rPh sb="0" eb="3">
      <t>シチョウソン</t>
    </rPh>
    <rPh sb="4" eb="6">
      <t>サクテイ</t>
    </rPh>
    <rPh sb="8" eb="10">
      <t>トウゴウ</t>
    </rPh>
    <rPh sb="10" eb="12">
      <t>カンイ</t>
    </rPh>
    <rPh sb="12" eb="14">
      <t>スイドウ</t>
    </rPh>
    <rPh sb="14" eb="16">
      <t>シセツ</t>
    </rPh>
    <rPh sb="16" eb="18">
      <t>セイビ</t>
    </rPh>
    <rPh sb="18" eb="20">
      <t>ケイカク</t>
    </rPh>
    <rPh sb="21" eb="22">
      <t>モト</t>
    </rPh>
    <rPh sb="24" eb="26">
      <t>ジギョウ</t>
    </rPh>
    <phoneticPr fontId="6"/>
  </si>
  <si>
    <t>４／10</t>
  </si>
  <si>
    <t>水源が枯渇し、その周辺での水源の確保が著しく困難な場合において、原則200ｍ以上離れた他水道事業から浄水を受けること</t>
    <rPh sb="0" eb="2">
      <t>スイゲン</t>
    </rPh>
    <rPh sb="3" eb="5">
      <t>コカツ</t>
    </rPh>
    <rPh sb="9" eb="11">
      <t>シュウヘン</t>
    </rPh>
    <rPh sb="13" eb="15">
      <t>スイゲン</t>
    </rPh>
    <rPh sb="16" eb="18">
      <t>カクホ</t>
    </rPh>
    <rPh sb="19" eb="20">
      <t>イチジル</t>
    </rPh>
    <rPh sb="22" eb="24">
      <t>コンナン</t>
    </rPh>
    <rPh sb="25" eb="27">
      <t>バアイ</t>
    </rPh>
    <rPh sb="32" eb="34">
      <t>ゲンソク</t>
    </rPh>
    <rPh sb="38" eb="40">
      <t>イジョウ</t>
    </rPh>
    <rPh sb="40" eb="41">
      <t>ハナ</t>
    </rPh>
    <rPh sb="43" eb="44">
      <t>ホカ</t>
    </rPh>
    <rPh sb="44" eb="46">
      <t>スイドウ</t>
    </rPh>
    <rPh sb="46" eb="48">
      <t>ジギョウ</t>
    </rPh>
    <rPh sb="50" eb="52">
      <t>ジョウスイ</t>
    </rPh>
    <rPh sb="53" eb="54">
      <t>ウ</t>
    </rPh>
    <phoneticPr fontId="6"/>
  </si>
  <si>
    <t>１／３</t>
  </si>
  <si>
    <t>１／４</t>
  </si>
  <si>
    <t>等</t>
  </si>
  <si>
    <t>簡易水道統合整備事業</t>
    <rPh sb="0" eb="2">
      <t>カンイ</t>
    </rPh>
    <rPh sb="2" eb="4">
      <t>スイドウ</t>
    </rPh>
    <rPh sb="4" eb="6">
      <t>トウゴウ</t>
    </rPh>
    <rPh sb="6" eb="8">
      <t>セイビ</t>
    </rPh>
    <rPh sb="8" eb="10">
      <t>ジギョウ</t>
    </rPh>
    <phoneticPr fontId="6"/>
  </si>
  <si>
    <t>簡易水道施設等を統合整備する事業</t>
    <rPh sb="0" eb="2">
      <t>カンイ</t>
    </rPh>
    <rPh sb="2" eb="4">
      <t>スイドウ</t>
    </rPh>
    <rPh sb="4" eb="6">
      <t>シセツ</t>
    </rPh>
    <rPh sb="6" eb="7">
      <t>トウ</t>
    </rPh>
    <rPh sb="8" eb="10">
      <t>トウゴウ</t>
    </rPh>
    <rPh sb="10" eb="12">
      <t>セイビ</t>
    </rPh>
    <rPh sb="14" eb="16">
      <t>ジギョウ</t>
    </rPh>
    <phoneticPr fontId="6"/>
  </si>
  <si>
    <t>市町村が策定する簡易水道施設統合計画に基づく上水道施設と簡易水道施設等との統合整備を行う事業であること</t>
    <rPh sb="0" eb="3">
      <t>シチョウソン</t>
    </rPh>
    <rPh sb="4" eb="6">
      <t>サクテイ</t>
    </rPh>
    <rPh sb="8" eb="10">
      <t>カンイ</t>
    </rPh>
    <rPh sb="10" eb="12">
      <t>スイドウ</t>
    </rPh>
    <rPh sb="12" eb="14">
      <t>シセツ</t>
    </rPh>
    <rPh sb="14" eb="16">
      <t>トウゴウ</t>
    </rPh>
    <rPh sb="16" eb="18">
      <t>ケイカク</t>
    </rPh>
    <rPh sb="19" eb="20">
      <t>モト</t>
    </rPh>
    <rPh sb="22" eb="25">
      <t>ジョウスイドウ</t>
    </rPh>
    <rPh sb="25" eb="27">
      <t>シセツ</t>
    </rPh>
    <rPh sb="28" eb="30">
      <t>カンイ</t>
    </rPh>
    <rPh sb="30" eb="32">
      <t>スイドウ</t>
    </rPh>
    <rPh sb="32" eb="34">
      <t>シセツ</t>
    </rPh>
    <rPh sb="34" eb="35">
      <t>トウ</t>
    </rPh>
    <rPh sb="37" eb="39">
      <t>トウゴウ</t>
    </rPh>
    <rPh sb="39" eb="41">
      <t>セイビ</t>
    </rPh>
    <rPh sb="42" eb="43">
      <t>オコナ</t>
    </rPh>
    <rPh sb="44" eb="46">
      <t>ジギョウ</t>
    </rPh>
    <phoneticPr fontId="6"/>
  </si>
  <si>
    <t>生活基盤近代化事業</t>
    <rPh sb="0" eb="2">
      <t>セイカツ</t>
    </rPh>
    <rPh sb="2" eb="4">
      <t>キバン</t>
    </rPh>
    <rPh sb="4" eb="7">
      <t>キンダイカ</t>
    </rPh>
    <rPh sb="7" eb="9">
      <t>ジギョウ</t>
    </rPh>
    <phoneticPr fontId="6"/>
  </si>
  <si>
    <t>増補改良</t>
    <rPh sb="0" eb="2">
      <t>ゾウホ</t>
    </rPh>
    <rPh sb="2" eb="4">
      <t>カイリョウ</t>
    </rPh>
    <phoneticPr fontId="6"/>
  </si>
  <si>
    <t>簡易水道施設等の増補改良を行う事業</t>
    <rPh sb="0" eb="2">
      <t>カンイ</t>
    </rPh>
    <rPh sb="2" eb="4">
      <t>スイドウ</t>
    </rPh>
    <rPh sb="4" eb="6">
      <t>シセツ</t>
    </rPh>
    <rPh sb="6" eb="7">
      <t>トウ</t>
    </rPh>
    <rPh sb="8" eb="10">
      <t>ゾウホ</t>
    </rPh>
    <rPh sb="10" eb="12">
      <t>カイリョウ</t>
    </rPh>
    <rPh sb="13" eb="14">
      <t>オコナ</t>
    </rPh>
    <rPh sb="15" eb="17">
      <t>ジギョウ</t>
    </rPh>
    <phoneticPr fontId="6"/>
  </si>
  <si>
    <t>特定簡易水道事業、特定飲料水供給施設に該当しないこと</t>
    <rPh sb="0" eb="2">
      <t>トクテイ</t>
    </rPh>
    <rPh sb="2" eb="4">
      <t>カンイ</t>
    </rPh>
    <rPh sb="4" eb="6">
      <t>スイドウ</t>
    </rPh>
    <rPh sb="6" eb="8">
      <t>ジギョウ</t>
    </rPh>
    <rPh sb="9" eb="11">
      <t>トクテイ</t>
    </rPh>
    <rPh sb="11" eb="14">
      <t>インリョウスイ</t>
    </rPh>
    <rPh sb="14" eb="16">
      <t>キョウキュウ</t>
    </rPh>
    <rPh sb="16" eb="18">
      <t>シセツ</t>
    </rPh>
    <rPh sb="19" eb="21">
      <t>ガイトウ</t>
    </rPh>
    <phoneticPr fontId="6"/>
  </si>
  <si>
    <t>基幹改良</t>
    <rPh sb="0" eb="2">
      <t>キカン</t>
    </rPh>
    <rPh sb="2" eb="4">
      <t>カイリョウ</t>
    </rPh>
    <phoneticPr fontId="6"/>
  </si>
  <si>
    <t>水量拡張</t>
    <rPh sb="0" eb="2">
      <t>スイリョウ</t>
    </rPh>
    <rPh sb="2" eb="4">
      <t>カクチョウ</t>
    </rPh>
    <phoneticPr fontId="6"/>
  </si>
  <si>
    <t>しゅん工後40年以上経過した構築物を廃止して新設するもの</t>
  </si>
  <si>
    <t>閉山炭鉱水道施設</t>
    <rPh sb="0" eb="2">
      <t>ヘイザン</t>
    </rPh>
    <rPh sb="2" eb="4">
      <t>タンコウ</t>
    </rPh>
    <rPh sb="4" eb="6">
      <t>スイドウ</t>
    </rPh>
    <rPh sb="6" eb="8">
      <t>シセツ</t>
    </rPh>
    <phoneticPr fontId="6"/>
  </si>
  <si>
    <t>鉱業経営者にかわって市町村が給水を行うこと</t>
    <rPh sb="0" eb="2">
      <t>コウギョウ</t>
    </rPh>
    <rPh sb="2" eb="5">
      <t>ケイエイシャ</t>
    </rPh>
    <rPh sb="10" eb="13">
      <t>シチョウソン</t>
    </rPh>
    <rPh sb="14" eb="16">
      <t>キュウスイ</t>
    </rPh>
    <rPh sb="17" eb="18">
      <t>オコナ</t>
    </rPh>
    <phoneticPr fontId="6"/>
  </si>
  <si>
    <t>（３）生活基盤施設耐震化等交付金</t>
    <rPh sb="3" eb="5">
      <t>セイカツ</t>
    </rPh>
    <rPh sb="5" eb="7">
      <t>キバン</t>
    </rPh>
    <rPh sb="7" eb="9">
      <t>シセツ</t>
    </rPh>
    <rPh sb="9" eb="12">
      <t>タイシンカ</t>
    </rPh>
    <rPh sb="12" eb="13">
      <t>トウ</t>
    </rPh>
    <rPh sb="13" eb="16">
      <t>コウフキン</t>
    </rPh>
    <phoneticPr fontId="6"/>
  </si>
  <si>
    <t>水道施設等耐震化事業</t>
    <rPh sb="0" eb="2">
      <t>スイドウ</t>
    </rPh>
    <rPh sb="2" eb="4">
      <t>シセツ</t>
    </rPh>
    <rPh sb="4" eb="5">
      <t>トウ</t>
    </rPh>
    <rPh sb="5" eb="8">
      <t>タイシンカ</t>
    </rPh>
    <rPh sb="8" eb="10">
      <t>ジギョウ</t>
    </rPh>
    <phoneticPr fontId="6"/>
  </si>
  <si>
    <t>既存の水道事業の給水区域から道路延長が原則10km以上離れていること　等</t>
    <rPh sb="0" eb="2">
      <t>キゾン</t>
    </rPh>
    <rPh sb="3" eb="5">
      <t>スイドウ</t>
    </rPh>
    <rPh sb="5" eb="7">
      <t>ジギョウ</t>
    </rPh>
    <rPh sb="8" eb="10">
      <t>キュウスイ</t>
    </rPh>
    <rPh sb="10" eb="12">
      <t>クイキ</t>
    </rPh>
    <rPh sb="14" eb="16">
      <t>ドウロ</t>
    </rPh>
    <rPh sb="16" eb="18">
      <t>エンチョウ</t>
    </rPh>
    <rPh sb="19" eb="21">
      <t>ゲンソク</t>
    </rPh>
    <rPh sb="25" eb="27">
      <t>イジョウ</t>
    </rPh>
    <rPh sb="27" eb="28">
      <t>ハナ</t>
    </rPh>
    <rPh sb="35" eb="36">
      <t>ナド</t>
    </rPh>
    <phoneticPr fontId="6"/>
  </si>
  <si>
    <t>高度浄水施設等整備費</t>
    <rPh sb="0" eb="2">
      <t>コウド</t>
    </rPh>
    <rPh sb="2" eb="4">
      <t>ジョウスイ</t>
    </rPh>
    <rPh sb="4" eb="7">
      <t>シセツトウ</t>
    </rPh>
    <rPh sb="7" eb="10">
      <t>セイビヒ</t>
    </rPh>
    <phoneticPr fontId="6"/>
  </si>
  <si>
    <t>緊急時給水拠点確保等事業</t>
    <rPh sb="0" eb="2">
      <t>キンキュウ</t>
    </rPh>
    <rPh sb="2" eb="3">
      <t>ジ</t>
    </rPh>
    <rPh sb="3" eb="5">
      <t>キュウスイ</t>
    </rPh>
    <rPh sb="5" eb="7">
      <t>キョテン</t>
    </rPh>
    <rPh sb="7" eb="9">
      <t>カクホ</t>
    </rPh>
    <rPh sb="9" eb="10">
      <t>トウ</t>
    </rPh>
    <rPh sb="10" eb="12">
      <t>ジギョウ</t>
    </rPh>
    <phoneticPr fontId="6"/>
  </si>
  <si>
    <t>計画一日最大給水量の10時間分を超え、12時間までの容量の配水池を整備する事業</t>
    <rPh sb="0" eb="2">
      <t>ケイカク</t>
    </rPh>
    <rPh sb="2" eb="4">
      <t>イチニチ</t>
    </rPh>
    <rPh sb="4" eb="6">
      <t>サイダイ</t>
    </rPh>
    <rPh sb="6" eb="8">
      <t>キュウスイ</t>
    </rPh>
    <rPh sb="8" eb="9">
      <t>リョウ</t>
    </rPh>
    <rPh sb="12" eb="14">
      <t>ジカン</t>
    </rPh>
    <rPh sb="14" eb="15">
      <t>ブン</t>
    </rPh>
    <rPh sb="16" eb="17">
      <t>コ</t>
    </rPh>
    <rPh sb="21" eb="23">
      <t>ジカン</t>
    </rPh>
    <rPh sb="26" eb="28">
      <t>ヨウリョウ</t>
    </rPh>
    <rPh sb="29" eb="32">
      <t>ハイスイチ</t>
    </rPh>
    <rPh sb="33" eb="35">
      <t>セイビ</t>
    </rPh>
    <rPh sb="37" eb="39">
      <t>ジギョウ</t>
    </rPh>
    <phoneticPr fontId="6"/>
  </si>
  <si>
    <t>資本単価が90円/m3以上であること</t>
    <rPh sb="0" eb="2">
      <t>シホン</t>
    </rPh>
    <rPh sb="2" eb="4">
      <t>タンカ</t>
    </rPh>
    <rPh sb="7" eb="8">
      <t>エン</t>
    </rPh>
    <rPh sb="11" eb="13">
      <t>イジョウ</t>
    </rPh>
    <phoneticPr fontId="6"/>
  </si>
  <si>
    <t>地震対策等地域における事業であること</t>
    <rPh sb="0" eb="2">
      <t>ジシン</t>
    </rPh>
    <rPh sb="2" eb="4">
      <t>タイサク</t>
    </rPh>
    <rPh sb="4" eb="5">
      <t>トウ</t>
    </rPh>
    <rPh sb="5" eb="7">
      <t>チイキ</t>
    </rPh>
    <rPh sb="11" eb="13">
      <t>ジギョウ</t>
    </rPh>
    <phoneticPr fontId="6"/>
  </si>
  <si>
    <t>緊急時用連絡管</t>
    <rPh sb="0" eb="2">
      <t>キンキュウ</t>
    </rPh>
    <rPh sb="2" eb="4">
      <t>ジヨウ</t>
    </rPh>
    <rPh sb="4" eb="6">
      <t>レンラク</t>
    </rPh>
    <rPh sb="6" eb="7">
      <t>カン</t>
    </rPh>
    <phoneticPr fontId="6"/>
  </si>
  <si>
    <t>貯留施設</t>
    <rPh sb="0" eb="2">
      <t>チョリュウ</t>
    </rPh>
    <rPh sb="2" eb="4">
      <t>シセツ</t>
    </rPh>
    <phoneticPr fontId="6"/>
  </si>
  <si>
    <t>送水又は配水の用に供する管路であって水の貯留機能を併せ持つ施設の整備事業</t>
    <rPh sb="0" eb="2">
      <t>ソウスイ</t>
    </rPh>
    <rPh sb="2" eb="3">
      <t>マタ</t>
    </rPh>
    <rPh sb="4" eb="6">
      <t>ハイスイ</t>
    </rPh>
    <rPh sb="7" eb="8">
      <t>ヨウ</t>
    </rPh>
    <rPh sb="9" eb="10">
      <t>キョウ</t>
    </rPh>
    <rPh sb="12" eb="14">
      <t>カンロ</t>
    </rPh>
    <rPh sb="18" eb="19">
      <t>ミズ</t>
    </rPh>
    <rPh sb="20" eb="22">
      <t>チョリュウ</t>
    </rPh>
    <rPh sb="22" eb="24">
      <t>キノウ</t>
    </rPh>
    <rPh sb="25" eb="26">
      <t>アワ</t>
    </rPh>
    <rPh sb="27" eb="28">
      <t>モ</t>
    </rPh>
    <rPh sb="29" eb="31">
      <t>シセツ</t>
    </rPh>
    <rPh sb="32" eb="34">
      <t>セイビ</t>
    </rPh>
    <rPh sb="34" eb="36">
      <t>ジギョウ</t>
    </rPh>
    <phoneticPr fontId="6"/>
  </si>
  <si>
    <t>既設管路の更新等に合わせて整備するものであること</t>
    <rPh sb="0" eb="2">
      <t>キセツ</t>
    </rPh>
    <rPh sb="2" eb="3">
      <t>カン</t>
    </rPh>
    <rPh sb="3" eb="4">
      <t>ロ</t>
    </rPh>
    <rPh sb="5" eb="7">
      <t>コウシン</t>
    </rPh>
    <rPh sb="7" eb="8">
      <t>トウ</t>
    </rPh>
    <rPh sb="9" eb="10">
      <t>ア</t>
    </rPh>
    <rPh sb="13" eb="15">
      <t>セイビ</t>
    </rPh>
    <phoneticPr fontId="6"/>
  </si>
  <si>
    <t>緊急遮断弁</t>
    <rPh sb="0" eb="2">
      <t>キンキュウ</t>
    </rPh>
    <rPh sb="2" eb="4">
      <t>シャダン</t>
    </rPh>
    <rPh sb="4" eb="5">
      <t>ベン</t>
    </rPh>
    <phoneticPr fontId="6"/>
  </si>
  <si>
    <t>緊急時に配水池等の水道水の流出を防止するための緊急遮断弁の整備事業</t>
    <rPh sb="0" eb="2">
      <t>キンキュウ</t>
    </rPh>
    <rPh sb="2" eb="3">
      <t>ジ</t>
    </rPh>
    <rPh sb="4" eb="7">
      <t>ハイスイチ</t>
    </rPh>
    <rPh sb="7" eb="8">
      <t>トウ</t>
    </rPh>
    <rPh sb="9" eb="11">
      <t>スイドウ</t>
    </rPh>
    <rPh sb="11" eb="12">
      <t>スイ</t>
    </rPh>
    <rPh sb="13" eb="15">
      <t>リュウシュツ</t>
    </rPh>
    <rPh sb="16" eb="18">
      <t>ボウシ</t>
    </rPh>
    <rPh sb="23" eb="25">
      <t>キンキュウ</t>
    </rPh>
    <rPh sb="25" eb="27">
      <t>シャダン</t>
    </rPh>
    <rPh sb="27" eb="28">
      <t>ベン</t>
    </rPh>
    <rPh sb="29" eb="31">
      <t>セイビ</t>
    </rPh>
    <rPh sb="31" eb="33">
      <t>ジギョウ</t>
    </rPh>
    <phoneticPr fontId="6"/>
  </si>
  <si>
    <t>大容量送水管</t>
    <rPh sb="0" eb="3">
      <t>ダイヨウリョウ</t>
    </rPh>
    <rPh sb="3" eb="6">
      <t>ソウスイカン</t>
    </rPh>
    <phoneticPr fontId="6"/>
  </si>
  <si>
    <t>緊急時に対応するための貯留機能を合わせ持つ大容量の送水管を整備する事業</t>
    <rPh sb="0" eb="2">
      <t>キンキュウ</t>
    </rPh>
    <rPh sb="2" eb="3">
      <t>ジ</t>
    </rPh>
    <rPh sb="4" eb="6">
      <t>タイオウ</t>
    </rPh>
    <rPh sb="11" eb="13">
      <t>チョリュウ</t>
    </rPh>
    <rPh sb="13" eb="15">
      <t>キノウ</t>
    </rPh>
    <rPh sb="16" eb="17">
      <t>ア</t>
    </rPh>
    <rPh sb="19" eb="20">
      <t>モ</t>
    </rPh>
    <rPh sb="21" eb="24">
      <t>ダイヨウリョウ</t>
    </rPh>
    <rPh sb="25" eb="28">
      <t>ソウスイカン</t>
    </rPh>
    <rPh sb="29" eb="31">
      <t>セイビ</t>
    </rPh>
    <rPh sb="33" eb="35">
      <t>ジギョウ</t>
    </rPh>
    <phoneticPr fontId="6"/>
  </si>
  <si>
    <t>災害時には給水タンク車等による応急給水など、防災活動への拠点となるものであること</t>
    <rPh sb="0" eb="2">
      <t>サイガイ</t>
    </rPh>
    <rPh sb="2" eb="3">
      <t>ジ</t>
    </rPh>
    <rPh sb="5" eb="7">
      <t>キュウスイ</t>
    </rPh>
    <rPh sb="10" eb="11">
      <t>シャ</t>
    </rPh>
    <rPh sb="11" eb="12">
      <t>トウ</t>
    </rPh>
    <rPh sb="15" eb="17">
      <t>オウキュウ</t>
    </rPh>
    <rPh sb="17" eb="19">
      <t>キュウスイ</t>
    </rPh>
    <rPh sb="22" eb="24">
      <t>ボウサイ</t>
    </rPh>
    <rPh sb="24" eb="26">
      <t>カツドウ</t>
    </rPh>
    <rPh sb="28" eb="30">
      <t>キョテン</t>
    </rPh>
    <phoneticPr fontId="6"/>
  </si>
  <si>
    <t>重要給水施設配水管</t>
    <rPh sb="0" eb="2">
      <t>ジュウヨウ</t>
    </rPh>
    <rPh sb="2" eb="4">
      <t>キュウスイ</t>
    </rPh>
    <rPh sb="4" eb="6">
      <t>シセツ</t>
    </rPh>
    <rPh sb="6" eb="9">
      <t>ハイスイカン</t>
    </rPh>
    <phoneticPr fontId="6"/>
  </si>
  <si>
    <t>基幹病院等の給水優先度が特に高い施設に配水する配水管であって、耐震機能を有するものを整備する事業</t>
    <rPh sb="0" eb="2">
      <t>キカン</t>
    </rPh>
    <rPh sb="2" eb="4">
      <t>ビョウイン</t>
    </rPh>
    <rPh sb="4" eb="5">
      <t>トウ</t>
    </rPh>
    <rPh sb="6" eb="8">
      <t>キュウスイ</t>
    </rPh>
    <rPh sb="8" eb="11">
      <t>ユウセンド</t>
    </rPh>
    <rPh sb="12" eb="13">
      <t>トク</t>
    </rPh>
    <rPh sb="14" eb="15">
      <t>タカ</t>
    </rPh>
    <rPh sb="16" eb="18">
      <t>シセツ</t>
    </rPh>
    <rPh sb="19" eb="21">
      <t>ハイスイ</t>
    </rPh>
    <rPh sb="23" eb="26">
      <t>ハイスイカン</t>
    </rPh>
    <rPh sb="31" eb="33">
      <t>タイシン</t>
    </rPh>
    <rPh sb="33" eb="35">
      <t>キノウ</t>
    </rPh>
    <rPh sb="36" eb="37">
      <t>ユウ</t>
    </rPh>
    <rPh sb="42" eb="44">
      <t>セイビ</t>
    </rPh>
    <rPh sb="46" eb="48">
      <t>ジギョウ</t>
    </rPh>
    <phoneticPr fontId="6"/>
  </si>
  <si>
    <t>資本単価が90円/m3（水道事業）以上であること</t>
    <rPh sb="0" eb="2">
      <t>シホン</t>
    </rPh>
    <rPh sb="2" eb="4">
      <t>タンカ</t>
    </rPh>
    <rPh sb="7" eb="8">
      <t>エン</t>
    </rPh>
    <rPh sb="12" eb="14">
      <t>スイドウ</t>
    </rPh>
    <rPh sb="14" eb="16">
      <t>ジギョウ</t>
    </rPh>
    <rPh sb="17" eb="19">
      <t>イジョウ</t>
    </rPh>
    <phoneticPr fontId="6"/>
  </si>
  <si>
    <t>地域防災計画等において、災害時に重要な拠点となる病院等の給水優先度が特に高い施設への配水管であること　等</t>
    <rPh sb="0" eb="2">
      <t>チイキ</t>
    </rPh>
    <rPh sb="2" eb="4">
      <t>ボウサイ</t>
    </rPh>
    <rPh sb="4" eb="6">
      <t>ケイカク</t>
    </rPh>
    <rPh sb="6" eb="7">
      <t>トウ</t>
    </rPh>
    <rPh sb="12" eb="14">
      <t>サイガイ</t>
    </rPh>
    <rPh sb="14" eb="15">
      <t>ジ</t>
    </rPh>
    <rPh sb="16" eb="18">
      <t>ジュウヨウ</t>
    </rPh>
    <rPh sb="19" eb="21">
      <t>キョテン</t>
    </rPh>
    <rPh sb="24" eb="26">
      <t>ビョウイン</t>
    </rPh>
    <rPh sb="26" eb="27">
      <t>トウ</t>
    </rPh>
    <rPh sb="28" eb="30">
      <t>キュウスイ</t>
    </rPh>
    <rPh sb="30" eb="33">
      <t>ユウセンド</t>
    </rPh>
    <rPh sb="34" eb="35">
      <t>トク</t>
    </rPh>
    <rPh sb="36" eb="37">
      <t>タカ</t>
    </rPh>
    <rPh sb="38" eb="40">
      <t>シセツ</t>
    </rPh>
    <rPh sb="42" eb="45">
      <t>ハイスイカン</t>
    </rPh>
    <rPh sb="51" eb="52">
      <t>トウ</t>
    </rPh>
    <phoneticPr fontId="6"/>
  </si>
  <si>
    <t>基幹水道構造物の耐震化事業</t>
    <rPh sb="0" eb="2">
      <t>キカン</t>
    </rPh>
    <rPh sb="2" eb="4">
      <t>スイドウ</t>
    </rPh>
    <rPh sb="4" eb="7">
      <t>コウゾウブツ</t>
    </rPh>
    <rPh sb="8" eb="11">
      <t>タイシンカ</t>
    </rPh>
    <rPh sb="11" eb="13">
      <t>ジギョウ</t>
    </rPh>
    <phoneticPr fontId="6"/>
  </si>
  <si>
    <t>浄水場等の基幹水道構造物のうち特に耐震化が必要であると認められるものの補強事業又は改築・更新事業</t>
    <rPh sb="0" eb="2">
      <t>ジョウスイ</t>
    </rPh>
    <rPh sb="2" eb="3">
      <t>ジョウ</t>
    </rPh>
    <rPh sb="3" eb="4">
      <t>トウ</t>
    </rPh>
    <rPh sb="5" eb="7">
      <t>キカン</t>
    </rPh>
    <rPh sb="7" eb="9">
      <t>スイドウ</t>
    </rPh>
    <rPh sb="9" eb="12">
      <t>コウゾウブツ</t>
    </rPh>
    <rPh sb="15" eb="16">
      <t>トク</t>
    </rPh>
    <rPh sb="17" eb="20">
      <t>タイシンカ</t>
    </rPh>
    <rPh sb="21" eb="23">
      <t>ヒツヨウ</t>
    </rPh>
    <rPh sb="27" eb="28">
      <t>ミト</t>
    </rPh>
    <rPh sb="35" eb="37">
      <t>ホキョウ</t>
    </rPh>
    <rPh sb="37" eb="39">
      <t>ジギョウ</t>
    </rPh>
    <rPh sb="39" eb="40">
      <t>マタ</t>
    </rPh>
    <rPh sb="41" eb="43">
      <t>カイチク</t>
    </rPh>
    <rPh sb="44" eb="46">
      <t>コウシン</t>
    </rPh>
    <rPh sb="46" eb="48">
      <t>ジギョウ</t>
    </rPh>
    <phoneticPr fontId="6"/>
  </si>
  <si>
    <t>平成９年以前に建築された法定耐用年数以内の施設であること</t>
    <rPh sb="0" eb="2">
      <t>ヘイセイ</t>
    </rPh>
    <rPh sb="3" eb="4">
      <t>ネン</t>
    </rPh>
    <rPh sb="4" eb="6">
      <t>イゼン</t>
    </rPh>
    <rPh sb="7" eb="9">
      <t>ケンチク</t>
    </rPh>
    <rPh sb="12" eb="14">
      <t>ホウテイ</t>
    </rPh>
    <rPh sb="14" eb="16">
      <t>タイヨウ</t>
    </rPh>
    <rPh sb="16" eb="18">
      <t>ネンスウ</t>
    </rPh>
    <rPh sb="18" eb="20">
      <t>イナイ</t>
    </rPh>
    <rPh sb="21" eb="23">
      <t>シセツ</t>
    </rPh>
    <phoneticPr fontId="6"/>
  </si>
  <si>
    <t>水道施設耐災害性強化事業</t>
    <rPh sb="0" eb="2">
      <t>スイドウ</t>
    </rPh>
    <rPh sb="2" eb="4">
      <t>シセツ</t>
    </rPh>
    <rPh sb="4" eb="5">
      <t>タイ</t>
    </rPh>
    <rPh sb="5" eb="8">
      <t>サイガイセイ</t>
    </rPh>
    <rPh sb="8" eb="10">
      <t>キョウカ</t>
    </rPh>
    <rPh sb="10" eb="12">
      <t>ジギョウ</t>
    </rPh>
    <phoneticPr fontId="6"/>
  </si>
  <si>
    <t>災害復旧事業と併せて行う水道施設の災害対策事業</t>
    <rPh sb="0" eb="2">
      <t>サイガイ</t>
    </rPh>
    <rPh sb="2" eb="4">
      <t>フッキュウ</t>
    </rPh>
    <rPh sb="4" eb="6">
      <t>ジギョウ</t>
    </rPh>
    <rPh sb="7" eb="8">
      <t>アワ</t>
    </rPh>
    <rPh sb="10" eb="11">
      <t>オコナ</t>
    </rPh>
    <rPh sb="12" eb="14">
      <t>スイドウ</t>
    </rPh>
    <rPh sb="14" eb="16">
      <t>シセツ</t>
    </rPh>
    <rPh sb="17" eb="19">
      <t>サイガイ</t>
    </rPh>
    <rPh sb="19" eb="21">
      <t>タイサク</t>
    </rPh>
    <rPh sb="21" eb="23">
      <t>ジギョウ</t>
    </rPh>
    <phoneticPr fontId="6"/>
  </si>
  <si>
    <t>災害復旧事業と併せて行う水道施設の耐災害性強化事業であること</t>
    <rPh sb="0" eb="2">
      <t>サイガイ</t>
    </rPh>
    <rPh sb="2" eb="4">
      <t>フッキュウ</t>
    </rPh>
    <rPh sb="4" eb="6">
      <t>ジギョウ</t>
    </rPh>
    <rPh sb="7" eb="8">
      <t>アワ</t>
    </rPh>
    <rPh sb="10" eb="11">
      <t>オコナ</t>
    </rPh>
    <rPh sb="12" eb="14">
      <t>スイドウ</t>
    </rPh>
    <rPh sb="14" eb="16">
      <t>シセツ</t>
    </rPh>
    <rPh sb="17" eb="18">
      <t>タイ</t>
    </rPh>
    <rPh sb="18" eb="21">
      <t>サイガイセイ</t>
    </rPh>
    <rPh sb="21" eb="23">
      <t>キョウカ</t>
    </rPh>
    <rPh sb="23" eb="25">
      <t>ジギョウ</t>
    </rPh>
    <phoneticPr fontId="6"/>
  </si>
  <si>
    <t>原形より水道施設の耐災害性が強化される事業であること</t>
    <rPh sb="0" eb="2">
      <t>ゲンケイ</t>
    </rPh>
    <rPh sb="4" eb="6">
      <t>スイドウ</t>
    </rPh>
    <rPh sb="6" eb="8">
      <t>シセツ</t>
    </rPh>
    <rPh sb="9" eb="10">
      <t>タイ</t>
    </rPh>
    <rPh sb="10" eb="13">
      <t>サイガイセイ</t>
    </rPh>
    <rPh sb="14" eb="16">
      <t>キョウカ</t>
    </rPh>
    <rPh sb="19" eb="21">
      <t>ジギョウ</t>
    </rPh>
    <phoneticPr fontId="6"/>
  </si>
  <si>
    <t>・</t>
  </si>
  <si>
    <t>他の事業による防災対策が実施されても被災原因となった災害と同様の災害によって被災するおそれがあること</t>
    <rPh sb="0" eb="1">
      <t>タ</t>
    </rPh>
    <rPh sb="2" eb="4">
      <t>ジギョウ</t>
    </rPh>
    <rPh sb="7" eb="9">
      <t>ボウサイ</t>
    </rPh>
    <rPh sb="9" eb="11">
      <t>タイサク</t>
    </rPh>
    <rPh sb="12" eb="14">
      <t>ジッシ</t>
    </rPh>
    <rPh sb="18" eb="20">
      <t>ヒサイ</t>
    </rPh>
    <rPh sb="20" eb="22">
      <t>ゲンイン</t>
    </rPh>
    <rPh sb="26" eb="28">
      <t>サイガイ</t>
    </rPh>
    <rPh sb="29" eb="31">
      <t>ドウヨウ</t>
    </rPh>
    <rPh sb="32" eb="34">
      <t>サイガイ</t>
    </rPh>
    <rPh sb="38" eb="40">
      <t>ヒサイ</t>
    </rPh>
    <phoneticPr fontId="6"/>
  </si>
  <si>
    <t>水道管路耐震化等推進事業</t>
    <rPh sb="0" eb="2">
      <t>スイドウ</t>
    </rPh>
    <rPh sb="2" eb="4">
      <t>カンロ</t>
    </rPh>
    <rPh sb="4" eb="7">
      <t>タイシンカ</t>
    </rPh>
    <rPh sb="7" eb="8">
      <t>トウ</t>
    </rPh>
    <rPh sb="8" eb="10">
      <t>スイシン</t>
    </rPh>
    <rPh sb="10" eb="12">
      <t>ジギョウ</t>
    </rPh>
    <phoneticPr fontId="6"/>
  </si>
  <si>
    <t>老朽管更新事業</t>
    <rPh sb="0" eb="2">
      <t>ロウキュウ</t>
    </rPh>
    <rPh sb="2" eb="3">
      <t>カン</t>
    </rPh>
    <rPh sb="3" eb="5">
      <t>コウシン</t>
    </rPh>
    <rPh sb="5" eb="7">
      <t>ジギョウ</t>
    </rPh>
    <phoneticPr fontId="6"/>
  </si>
  <si>
    <t>水道管路緊急改善事業</t>
    <rPh sb="0" eb="2">
      <t>スイドウ</t>
    </rPh>
    <rPh sb="2" eb="4">
      <t>カンロ</t>
    </rPh>
    <rPh sb="4" eb="6">
      <t>キンキュウ</t>
    </rPh>
    <rPh sb="6" eb="8">
      <t>カイゼン</t>
    </rPh>
    <rPh sb="8" eb="10">
      <t>ジギョウ</t>
    </rPh>
    <phoneticPr fontId="6"/>
  </si>
  <si>
    <t>布設後40年以上経過した鋳鉄管、石綿管、鉛管、コンクリート管、塩化ビニル管、ダクタイル鋳鉄管、鋼管、ポリエチレン管であって基幹管路（導水管、送水管、配水本管）に布設されているものの更新事業</t>
    <rPh sb="0" eb="2">
      <t>フセツ</t>
    </rPh>
    <rPh sb="2" eb="3">
      <t>ゴ</t>
    </rPh>
    <rPh sb="5" eb="6">
      <t>ネン</t>
    </rPh>
    <rPh sb="6" eb="8">
      <t>イジョウ</t>
    </rPh>
    <rPh sb="8" eb="10">
      <t>ケイカ</t>
    </rPh>
    <rPh sb="12" eb="15">
      <t>チュウテツカン</t>
    </rPh>
    <rPh sb="16" eb="18">
      <t>セキメン</t>
    </rPh>
    <rPh sb="18" eb="19">
      <t>カン</t>
    </rPh>
    <rPh sb="20" eb="21">
      <t>ナマリ</t>
    </rPh>
    <rPh sb="21" eb="22">
      <t>カン</t>
    </rPh>
    <rPh sb="29" eb="30">
      <t>カン</t>
    </rPh>
    <rPh sb="31" eb="33">
      <t>エンカ</t>
    </rPh>
    <rPh sb="36" eb="37">
      <t>カン</t>
    </rPh>
    <rPh sb="43" eb="46">
      <t>チュウテツカン</t>
    </rPh>
    <rPh sb="47" eb="49">
      <t>コウカン</t>
    </rPh>
    <rPh sb="56" eb="57">
      <t>カン</t>
    </rPh>
    <rPh sb="61" eb="63">
      <t>キカン</t>
    </rPh>
    <rPh sb="63" eb="65">
      <t>カンロ</t>
    </rPh>
    <rPh sb="66" eb="68">
      <t>ドウスイ</t>
    </rPh>
    <rPh sb="68" eb="69">
      <t>カン</t>
    </rPh>
    <rPh sb="70" eb="73">
      <t>ソウスイカン</t>
    </rPh>
    <rPh sb="74" eb="76">
      <t>ハイスイ</t>
    </rPh>
    <rPh sb="76" eb="78">
      <t>ホンカン</t>
    </rPh>
    <rPh sb="80" eb="82">
      <t>フセツ</t>
    </rPh>
    <rPh sb="90" eb="92">
      <t>コウシン</t>
    </rPh>
    <rPh sb="92" eb="94">
      <t>ジギョウ</t>
    </rPh>
    <phoneticPr fontId="6"/>
  </si>
  <si>
    <t>10m3あたりの水道料金が別途通知する平均料金より高いこと</t>
    <rPh sb="8" eb="10">
      <t>スイドウ</t>
    </rPh>
    <rPh sb="10" eb="12">
      <t>リョウキン</t>
    </rPh>
    <rPh sb="13" eb="15">
      <t>ベット</t>
    </rPh>
    <rPh sb="15" eb="17">
      <t>ツウチ</t>
    </rPh>
    <rPh sb="19" eb="21">
      <t>ヘイキン</t>
    </rPh>
    <rPh sb="21" eb="23">
      <t>リョウキン</t>
    </rPh>
    <rPh sb="25" eb="26">
      <t>タカ</t>
    </rPh>
    <phoneticPr fontId="6"/>
  </si>
  <si>
    <t>給水収益に占める企業債残高が別途通知する値より高いこと</t>
    <rPh sb="0" eb="2">
      <t>キュウスイ</t>
    </rPh>
    <rPh sb="2" eb="4">
      <t>シュウエキ</t>
    </rPh>
    <rPh sb="5" eb="6">
      <t>シ</t>
    </rPh>
    <rPh sb="8" eb="10">
      <t>キギョウ</t>
    </rPh>
    <rPh sb="10" eb="11">
      <t>サイ</t>
    </rPh>
    <rPh sb="11" eb="13">
      <t>ザンダカ</t>
    </rPh>
    <rPh sb="14" eb="16">
      <t>ベット</t>
    </rPh>
    <rPh sb="16" eb="18">
      <t>ツウチ</t>
    </rPh>
    <rPh sb="20" eb="21">
      <t>アタイ</t>
    </rPh>
    <rPh sb="23" eb="24">
      <t>タカ</t>
    </rPh>
    <phoneticPr fontId="6"/>
  </si>
  <si>
    <t>有収密度が別途通知する平均値より低いこと</t>
    <rPh sb="0" eb="2">
      <t>ユウシュウ</t>
    </rPh>
    <rPh sb="2" eb="4">
      <t>ミツド</t>
    </rPh>
    <rPh sb="5" eb="7">
      <t>ベット</t>
    </rPh>
    <rPh sb="7" eb="9">
      <t>ツウチ</t>
    </rPh>
    <rPh sb="11" eb="13">
      <t>ヘイキン</t>
    </rPh>
    <rPh sb="13" eb="14">
      <t>チ</t>
    </rPh>
    <rPh sb="16" eb="17">
      <t>ヒク</t>
    </rPh>
    <phoneticPr fontId="6"/>
  </si>
  <si>
    <t>料金回収率が100％以上であること</t>
    <rPh sb="0" eb="2">
      <t>リョウキン</t>
    </rPh>
    <rPh sb="2" eb="4">
      <t>カイシュウ</t>
    </rPh>
    <rPh sb="4" eb="5">
      <t>リツ</t>
    </rPh>
    <rPh sb="10" eb="12">
      <t>イジョウ</t>
    </rPh>
    <phoneticPr fontId="6"/>
  </si>
  <si>
    <t>管路近代化事業</t>
    <rPh sb="0" eb="2">
      <t>カンロ</t>
    </rPh>
    <rPh sb="2" eb="5">
      <t>キンダイカ</t>
    </rPh>
    <rPh sb="5" eb="7">
      <t>ジギョウ</t>
    </rPh>
    <phoneticPr fontId="6"/>
  </si>
  <si>
    <t>直結給水を実施するための管路更新事業</t>
    <rPh sb="0" eb="2">
      <t>チョッケツ</t>
    </rPh>
    <rPh sb="2" eb="4">
      <t>キュウスイ</t>
    </rPh>
    <rPh sb="5" eb="7">
      <t>ジッシ</t>
    </rPh>
    <rPh sb="12" eb="14">
      <t>カンロ</t>
    </rPh>
    <rPh sb="14" eb="16">
      <t>コウシン</t>
    </rPh>
    <rPh sb="16" eb="18">
      <t>ジギョウ</t>
    </rPh>
    <phoneticPr fontId="6"/>
  </si>
  <si>
    <t>直結給水対象人口が10万人を限度とするもの</t>
    <rPh sb="0" eb="2">
      <t>チョッケツ</t>
    </rPh>
    <rPh sb="2" eb="4">
      <t>キュウスイ</t>
    </rPh>
    <rPh sb="4" eb="6">
      <t>タイショウ</t>
    </rPh>
    <rPh sb="6" eb="8">
      <t>ジンコウ</t>
    </rPh>
    <rPh sb="11" eb="13">
      <t>マンニン</t>
    </rPh>
    <rPh sb="14" eb="16">
      <t>ゲンド</t>
    </rPh>
    <phoneticPr fontId="6"/>
  </si>
  <si>
    <t>資本単価が140円/m3以上であること　等</t>
    <rPh sb="0" eb="2">
      <t>シホン</t>
    </rPh>
    <rPh sb="2" eb="4">
      <t>タンカ</t>
    </rPh>
    <rPh sb="8" eb="9">
      <t>エン</t>
    </rPh>
    <rPh sb="12" eb="14">
      <t>イジョウ</t>
    </rPh>
    <rPh sb="20" eb="21">
      <t>トウ</t>
    </rPh>
    <phoneticPr fontId="6"/>
  </si>
  <si>
    <t>鉛管更新事業</t>
    <rPh sb="0" eb="1">
      <t>ナマリ</t>
    </rPh>
    <rPh sb="1" eb="2">
      <t>カン</t>
    </rPh>
    <rPh sb="2" eb="4">
      <t>コウシン</t>
    </rPh>
    <rPh sb="4" eb="6">
      <t>ジギョウ</t>
    </rPh>
    <phoneticPr fontId="6"/>
  </si>
  <si>
    <t>鉛管の更新事業</t>
    <rPh sb="0" eb="1">
      <t>ナマリ</t>
    </rPh>
    <rPh sb="1" eb="2">
      <t>カン</t>
    </rPh>
    <rPh sb="3" eb="5">
      <t>コウシン</t>
    </rPh>
    <rPh sb="5" eb="7">
      <t>ジギョウ</t>
    </rPh>
    <phoneticPr fontId="6"/>
  </si>
  <si>
    <t>導水管、送水管、配水管の更新事業であること</t>
    <rPh sb="0" eb="2">
      <t>ドウスイ</t>
    </rPh>
    <rPh sb="2" eb="3">
      <t>カン</t>
    </rPh>
    <rPh sb="4" eb="7">
      <t>ソウスイカン</t>
    </rPh>
    <rPh sb="8" eb="11">
      <t>ハイスイカン</t>
    </rPh>
    <rPh sb="12" eb="14">
      <t>コウシン</t>
    </rPh>
    <rPh sb="14" eb="16">
      <t>ジギョウ</t>
    </rPh>
    <phoneticPr fontId="6"/>
  </si>
  <si>
    <t>基幹管路耐震化整備事業</t>
    <rPh sb="0" eb="2">
      <t>キカン</t>
    </rPh>
    <rPh sb="2" eb="4">
      <t>カンロ</t>
    </rPh>
    <rPh sb="4" eb="7">
      <t>タイシンカ</t>
    </rPh>
    <rPh sb="7" eb="9">
      <t>セイビ</t>
    </rPh>
    <rPh sb="9" eb="11">
      <t>ジギョウ</t>
    </rPh>
    <phoneticPr fontId="6"/>
  </si>
  <si>
    <t>災害復旧事業と併せて行う導水管等の耐震化事業</t>
    <rPh sb="0" eb="2">
      <t>サイガイ</t>
    </rPh>
    <rPh sb="2" eb="4">
      <t>フッキュウ</t>
    </rPh>
    <rPh sb="4" eb="6">
      <t>ジギョウ</t>
    </rPh>
    <rPh sb="7" eb="8">
      <t>アワ</t>
    </rPh>
    <rPh sb="10" eb="11">
      <t>オコナ</t>
    </rPh>
    <rPh sb="12" eb="14">
      <t>ドウスイ</t>
    </rPh>
    <rPh sb="14" eb="15">
      <t>カン</t>
    </rPh>
    <rPh sb="15" eb="16">
      <t>トウ</t>
    </rPh>
    <rPh sb="17" eb="20">
      <t>タイシンカ</t>
    </rPh>
    <rPh sb="20" eb="22">
      <t>ジギョウ</t>
    </rPh>
    <phoneticPr fontId="6"/>
  </si>
  <si>
    <t>原形より耐震化が向上する材質または継手構造を持つ管路により災害復旧を行った事業であること</t>
    <rPh sb="0" eb="2">
      <t>ゲンケイ</t>
    </rPh>
    <rPh sb="4" eb="7">
      <t>タイシンカ</t>
    </rPh>
    <rPh sb="8" eb="10">
      <t>コウジョウ</t>
    </rPh>
    <rPh sb="12" eb="14">
      <t>ザイシツ</t>
    </rPh>
    <rPh sb="17" eb="19">
      <t>ツギテ</t>
    </rPh>
    <rPh sb="19" eb="21">
      <t>コウゾウ</t>
    </rPh>
    <rPh sb="22" eb="23">
      <t>モ</t>
    </rPh>
    <rPh sb="24" eb="26">
      <t>カンロ</t>
    </rPh>
    <rPh sb="29" eb="31">
      <t>サイガイ</t>
    </rPh>
    <rPh sb="31" eb="33">
      <t>フッキュウ</t>
    </rPh>
    <rPh sb="34" eb="35">
      <t>オコナ</t>
    </rPh>
    <rPh sb="37" eb="39">
      <t>ジギョウ</t>
    </rPh>
    <phoneticPr fontId="6"/>
  </si>
  <si>
    <t>災害復旧の補助対象となった管と同等の耐震性を有する材質又は継手構造であること</t>
    <rPh sb="0" eb="2">
      <t>サイガイ</t>
    </rPh>
    <rPh sb="2" eb="4">
      <t>フッキュウ</t>
    </rPh>
    <rPh sb="5" eb="7">
      <t>ホジョ</t>
    </rPh>
    <rPh sb="7" eb="9">
      <t>タイショウ</t>
    </rPh>
    <rPh sb="13" eb="14">
      <t>カン</t>
    </rPh>
    <rPh sb="15" eb="17">
      <t>ドウトウ</t>
    </rPh>
    <rPh sb="18" eb="21">
      <t>タイシンセイ</t>
    </rPh>
    <rPh sb="22" eb="23">
      <t>ユウ</t>
    </rPh>
    <rPh sb="25" eb="27">
      <t>ザイシツ</t>
    </rPh>
    <rPh sb="27" eb="28">
      <t>マタ</t>
    </rPh>
    <rPh sb="29" eb="31">
      <t>ツギテ</t>
    </rPh>
    <rPh sb="31" eb="33">
      <t>コウゾウ</t>
    </rPh>
    <phoneticPr fontId="6"/>
  </si>
  <si>
    <t>海底送・配水管更新事業</t>
    <rPh sb="0" eb="2">
      <t>カイテイ</t>
    </rPh>
    <rPh sb="2" eb="3">
      <t>ソウ</t>
    </rPh>
    <rPh sb="4" eb="7">
      <t>ハイスイカン</t>
    </rPh>
    <rPh sb="7" eb="9">
      <t>コウシン</t>
    </rPh>
    <rPh sb="9" eb="11">
      <t>ジギョウ</t>
    </rPh>
    <phoneticPr fontId="6"/>
  </si>
  <si>
    <t>布設後20年以上が経過した海底送・配水管の更新事業</t>
    <rPh sb="0" eb="2">
      <t>フセツ</t>
    </rPh>
    <rPh sb="2" eb="3">
      <t>ゴ</t>
    </rPh>
    <rPh sb="5" eb="8">
      <t>ネンイジョウ</t>
    </rPh>
    <rPh sb="9" eb="11">
      <t>ケイカ</t>
    </rPh>
    <rPh sb="13" eb="15">
      <t>カイテイ</t>
    </rPh>
    <rPh sb="15" eb="16">
      <t>ソウ</t>
    </rPh>
    <rPh sb="17" eb="19">
      <t>ハイスイ</t>
    </rPh>
    <rPh sb="19" eb="20">
      <t>カン</t>
    </rPh>
    <rPh sb="21" eb="23">
      <t>コウシン</t>
    </rPh>
    <rPh sb="23" eb="25">
      <t>ジギョウ</t>
    </rPh>
    <phoneticPr fontId="6"/>
  </si>
  <si>
    <t>令和７年度までに更新計画が採択された事業であること</t>
    <rPh sb="0" eb="2">
      <t>レイワ</t>
    </rPh>
    <rPh sb="3" eb="5">
      <t>ネンド</t>
    </rPh>
    <rPh sb="8" eb="10">
      <t>コウシン</t>
    </rPh>
    <rPh sb="10" eb="12">
      <t>ケイカク</t>
    </rPh>
    <rPh sb="13" eb="15">
      <t>サイタク</t>
    </rPh>
    <rPh sb="18" eb="20">
      <t>ジギョウ</t>
    </rPh>
    <phoneticPr fontId="6"/>
  </si>
  <si>
    <t>事業の対象となる海底送水管・海底配水管の代替水源が存在しないこと</t>
    <rPh sb="0" eb="2">
      <t>ジギョウ</t>
    </rPh>
    <rPh sb="3" eb="5">
      <t>タイショウ</t>
    </rPh>
    <rPh sb="8" eb="10">
      <t>カイテイ</t>
    </rPh>
    <rPh sb="10" eb="13">
      <t>ソウスイカン</t>
    </rPh>
    <rPh sb="14" eb="16">
      <t>カイテイ</t>
    </rPh>
    <rPh sb="16" eb="19">
      <t>ハイスイカン</t>
    </rPh>
    <rPh sb="20" eb="22">
      <t>ダイタイ</t>
    </rPh>
    <rPh sb="22" eb="24">
      <t>スイゲン</t>
    </rPh>
    <rPh sb="25" eb="27">
      <t>ソンザイ</t>
    </rPh>
    <phoneticPr fontId="6"/>
  </si>
  <si>
    <t>水道事業運営基盤強化推進等事業</t>
    <rPh sb="0" eb="2">
      <t>スイドウ</t>
    </rPh>
    <rPh sb="2" eb="4">
      <t>ジギョウ</t>
    </rPh>
    <rPh sb="4" eb="6">
      <t>ウンエイ</t>
    </rPh>
    <rPh sb="6" eb="8">
      <t>キバン</t>
    </rPh>
    <rPh sb="8" eb="10">
      <t>キョウカ</t>
    </rPh>
    <rPh sb="10" eb="12">
      <t>スイシン</t>
    </rPh>
    <rPh sb="12" eb="13">
      <t>トウ</t>
    </rPh>
    <rPh sb="13" eb="15">
      <t>ジギョウ</t>
    </rPh>
    <phoneticPr fontId="6"/>
  </si>
  <si>
    <t>広域化事業</t>
    <rPh sb="0" eb="3">
      <t>コウイキカ</t>
    </rPh>
    <rPh sb="3" eb="5">
      <t>ジギョウ</t>
    </rPh>
    <phoneticPr fontId="6"/>
  </si>
  <si>
    <t>水道事業の広域化（事業統合又は経営の一体化）に伴って行う施設整備事業</t>
    <rPh sb="0" eb="2">
      <t>スイドウ</t>
    </rPh>
    <rPh sb="2" eb="4">
      <t>ジギョウ</t>
    </rPh>
    <rPh sb="5" eb="8">
      <t>コウイキカ</t>
    </rPh>
    <rPh sb="9" eb="11">
      <t>ジギョウ</t>
    </rPh>
    <rPh sb="11" eb="13">
      <t>トウゴウ</t>
    </rPh>
    <rPh sb="13" eb="14">
      <t>マタ</t>
    </rPh>
    <rPh sb="15" eb="17">
      <t>ケイエイ</t>
    </rPh>
    <rPh sb="18" eb="21">
      <t>イッタイカ</t>
    </rPh>
    <rPh sb="23" eb="24">
      <t>トモナ</t>
    </rPh>
    <rPh sb="26" eb="27">
      <t>オコナ</t>
    </rPh>
    <rPh sb="28" eb="30">
      <t>シセツ</t>
    </rPh>
    <rPh sb="30" eb="32">
      <t>セイビ</t>
    </rPh>
    <rPh sb="32" eb="34">
      <t>ジギョウ</t>
    </rPh>
    <phoneticPr fontId="6"/>
  </si>
  <si>
    <t>事業開始後５年以内に広域化を実現すること</t>
    <rPh sb="0" eb="2">
      <t>ジギョウ</t>
    </rPh>
    <rPh sb="2" eb="5">
      <t>カイシゴ</t>
    </rPh>
    <rPh sb="6" eb="7">
      <t>ネン</t>
    </rPh>
    <rPh sb="7" eb="9">
      <t>イナイ</t>
    </rPh>
    <rPh sb="10" eb="13">
      <t>コウイキカ</t>
    </rPh>
    <rPh sb="14" eb="16">
      <t>ジツゲン</t>
    </rPh>
    <phoneticPr fontId="6"/>
  </si>
  <si>
    <t>水道基盤強化計画等に基づく圏域における広域化であること</t>
    <rPh sb="0" eb="2">
      <t>スイドウ</t>
    </rPh>
    <rPh sb="2" eb="4">
      <t>キバン</t>
    </rPh>
    <rPh sb="4" eb="6">
      <t>キョウカ</t>
    </rPh>
    <rPh sb="6" eb="8">
      <t>ケイカク</t>
    </rPh>
    <rPh sb="8" eb="9">
      <t>トウ</t>
    </rPh>
    <rPh sb="10" eb="11">
      <t>モト</t>
    </rPh>
    <rPh sb="13" eb="15">
      <t>ケンイキ</t>
    </rPh>
    <rPh sb="19" eb="22">
      <t>コウイキカ</t>
    </rPh>
    <phoneticPr fontId="6"/>
  </si>
  <si>
    <t>市町村域を超えて３以上の水道事業等の広域化であること（半島振興対策実施地域等では２以上）</t>
    <rPh sb="0" eb="3">
      <t>シチョウソン</t>
    </rPh>
    <rPh sb="3" eb="4">
      <t>イキ</t>
    </rPh>
    <rPh sb="5" eb="6">
      <t>コ</t>
    </rPh>
    <rPh sb="9" eb="11">
      <t>イジョウ</t>
    </rPh>
    <rPh sb="12" eb="14">
      <t>スイドウ</t>
    </rPh>
    <rPh sb="14" eb="16">
      <t>ジギョウ</t>
    </rPh>
    <rPh sb="16" eb="17">
      <t>トウ</t>
    </rPh>
    <rPh sb="18" eb="21">
      <t>コウイキカ</t>
    </rPh>
    <rPh sb="27" eb="29">
      <t>ハントウ</t>
    </rPh>
    <rPh sb="29" eb="31">
      <t>シンコウ</t>
    </rPh>
    <rPh sb="31" eb="33">
      <t>タイサク</t>
    </rPh>
    <rPh sb="33" eb="35">
      <t>ジッシ</t>
    </rPh>
    <rPh sb="35" eb="37">
      <t>チイキ</t>
    </rPh>
    <rPh sb="37" eb="38">
      <t>トウ</t>
    </rPh>
    <rPh sb="41" eb="43">
      <t>イジョウ</t>
    </rPh>
    <phoneticPr fontId="6"/>
  </si>
  <si>
    <t>資本単価が90円/m3以上である水道事業を含めること　等</t>
    <rPh sb="0" eb="2">
      <t>シホン</t>
    </rPh>
    <rPh sb="2" eb="4">
      <t>タンカ</t>
    </rPh>
    <rPh sb="7" eb="8">
      <t>エン</t>
    </rPh>
    <rPh sb="11" eb="13">
      <t>イジョウ</t>
    </rPh>
    <rPh sb="16" eb="18">
      <t>スイドウ</t>
    </rPh>
    <rPh sb="18" eb="20">
      <t>ジギョウ</t>
    </rPh>
    <rPh sb="21" eb="22">
      <t>フク</t>
    </rPh>
    <rPh sb="27" eb="28">
      <t>トウ</t>
    </rPh>
    <phoneticPr fontId="6"/>
  </si>
  <si>
    <t>運営基盤強化等事業</t>
    <rPh sb="0" eb="2">
      <t>ウンエイ</t>
    </rPh>
    <rPh sb="2" eb="4">
      <t>キバン</t>
    </rPh>
    <rPh sb="4" eb="6">
      <t>キョウカ</t>
    </rPh>
    <rPh sb="6" eb="7">
      <t>トウ</t>
    </rPh>
    <rPh sb="7" eb="9">
      <t>ジギョウ</t>
    </rPh>
    <phoneticPr fontId="6"/>
  </si>
  <si>
    <t>広域化後の圏域において運営基盤を強化するために必要な施設の整備に関する事業</t>
    <rPh sb="0" eb="3">
      <t>コウイキカ</t>
    </rPh>
    <rPh sb="3" eb="4">
      <t>ゴ</t>
    </rPh>
    <rPh sb="5" eb="7">
      <t>ケンイキ</t>
    </rPh>
    <rPh sb="11" eb="13">
      <t>ウンエイ</t>
    </rPh>
    <rPh sb="13" eb="15">
      <t>キバン</t>
    </rPh>
    <rPh sb="16" eb="18">
      <t>キョウカ</t>
    </rPh>
    <rPh sb="23" eb="25">
      <t>ヒツヨウ</t>
    </rPh>
    <rPh sb="26" eb="28">
      <t>シセツ</t>
    </rPh>
    <rPh sb="29" eb="31">
      <t>セイビ</t>
    </rPh>
    <rPh sb="32" eb="33">
      <t>カン</t>
    </rPh>
    <rPh sb="35" eb="37">
      <t>ジギョウ</t>
    </rPh>
    <phoneticPr fontId="6"/>
  </si>
  <si>
    <t>広域化事業を活用して事業統合又は経営の一体化を図ること</t>
    <rPh sb="0" eb="3">
      <t>コウイキカ</t>
    </rPh>
    <rPh sb="3" eb="5">
      <t>ジギョウ</t>
    </rPh>
    <rPh sb="6" eb="8">
      <t>カツヨウ</t>
    </rPh>
    <rPh sb="10" eb="12">
      <t>ジギョウ</t>
    </rPh>
    <rPh sb="12" eb="14">
      <t>トウゴウ</t>
    </rPh>
    <rPh sb="14" eb="15">
      <t>マタ</t>
    </rPh>
    <rPh sb="16" eb="18">
      <t>ケイエイ</t>
    </rPh>
    <rPh sb="19" eb="22">
      <t>イッタイカ</t>
    </rPh>
    <rPh sb="23" eb="24">
      <t>ハカ</t>
    </rPh>
    <phoneticPr fontId="6"/>
  </si>
  <si>
    <t>水道施設共同化事業</t>
    <rPh sb="0" eb="2">
      <t>スイドウ</t>
    </rPh>
    <rPh sb="2" eb="4">
      <t>シセツ</t>
    </rPh>
    <rPh sb="4" eb="7">
      <t>キョウドウカ</t>
    </rPh>
    <rPh sb="7" eb="9">
      <t>ジギョウ</t>
    </rPh>
    <phoneticPr fontId="6"/>
  </si>
  <si>
    <t>２以上の事業体で実施する共同の水道施設建設事業</t>
    <rPh sb="1" eb="3">
      <t>イジョウ</t>
    </rPh>
    <rPh sb="4" eb="6">
      <t>ジギョウ</t>
    </rPh>
    <rPh sb="6" eb="7">
      <t>タイ</t>
    </rPh>
    <rPh sb="8" eb="10">
      <t>ジッシ</t>
    </rPh>
    <rPh sb="12" eb="14">
      <t>キョウドウ</t>
    </rPh>
    <rPh sb="15" eb="17">
      <t>スイドウ</t>
    </rPh>
    <rPh sb="17" eb="19">
      <t>シセツ</t>
    </rPh>
    <rPh sb="19" eb="21">
      <t>ケンセツ</t>
    </rPh>
    <rPh sb="21" eb="23">
      <t>ジギョウ</t>
    </rPh>
    <phoneticPr fontId="6"/>
  </si>
  <si>
    <t>水道基盤強化計画等において、将来的に３事業体以上の事業統合又は経営の一体化を行う方針を明示していること</t>
    <rPh sb="0" eb="2">
      <t>スイドウ</t>
    </rPh>
    <rPh sb="2" eb="4">
      <t>キバン</t>
    </rPh>
    <rPh sb="4" eb="6">
      <t>キョウカ</t>
    </rPh>
    <rPh sb="6" eb="8">
      <t>ケイカク</t>
    </rPh>
    <rPh sb="8" eb="9">
      <t>トウ</t>
    </rPh>
    <rPh sb="14" eb="17">
      <t>ショウライテキ</t>
    </rPh>
    <rPh sb="19" eb="21">
      <t>ジギョウ</t>
    </rPh>
    <rPh sb="21" eb="22">
      <t>タイ</t>
    </rPh>
    <rPh sb="22" eb="24">
      <t>イジョウ</t>
    </rPh>
    <rPh sb="25" eb="27">
      <t>ジギョウ</t>
    </rPh>
    <rPh sb="27" eb="29">
      <t>トウゴウ</t>
    </rPh>
    <rPh sb="29" eb="30">
      <t>マタ</t>
    </rPh>
    <rPh sb="31" eb="33">
      <t>ケイエイ</t>
    </rPh>
    <rPh sb="34" eb="37">
      <t>イッタイカ</t>
    </rPh>
    <rPh sb="38" eb="39">
      <t>オコナ</t>
    </rPh>
    <rPh sb="40" eb="42">
      <t>ホウシン</t>
    </rPh>
    <rPh sb="43" eb="45">
      <t>メイジ</t>
    </rPh>
    <phoneticPr fontId="6"/>
  </si>
  <si>
    <t>水道施設再編推進事業</t>
    <rPh sb="0" eb="2">
      <t>スイドウ</t>
    </rPh>
    <rPh sb="2" eb="4">
      <t>シセツ</t>
    </rPh>
    <rPh sb="4" eb="6">
      <t>サイヘン</t>
    </rPh>
    <rPh sb="6" eb="8">
      <t>スイシン</t>
    </rPh>
    <rPh sb="8" eb="10">
      <t>ジギョウ</t>
    </rPh>
    <phoneticPr fontId="6"/>
  </si>
  <si>
    <t>一般の水需要を踏まえた事業規模の見直しに伴い、施設のダウンサイジングを行う事業</t>
    <rPh sb="0" eb="2">
      <t>イッパン</t>
    </rPh>
    <rPh sb="3" eb="4">
      <t>ミズ</t>
    </rPh>
    <rPh sb="4" eb="6">
      <t>ジュヨウ</t>
    </rPh>
    <rPh sb="7" eb="8">
      <t>フ</t>
    </rPh>
    <rPh sb="11" eb="13">
      <t>ジギョウ</t>
    </rPh>
    <rPh sb="13" eb="15">
      <t>キボ</t>
    </rPh>
    <rPh sb="16" eb="18">
      <t>ミナオ</t>
    </rPh>
    <rPh sb="20" eb="21">
      <t>トモナ</t>
    </rPh>
    <rPh sb="23" eb="25">
      <t>シセツ</t>
    </rPh>
    <rPh sb="35" eb="36">
      <t>オコナ</t>
    </rPh>
    <rPh sb="37" eb="39">
      <t>ジギョウ</t>
    </rPh>
    <phoneticPr fontId="6"/>
  </si>
  <si>
    <t>公表された施設整備計画に基づく事業であること</t>
    <rPh sb="0" eb="2">
      <t>コウヒョウ</t>
    </rPh>
    <rPh sb="5" eb="7">
      <t>シセツ</t>
    </rPh>
    <rPh sb="7" eb="9">
      <t>セイビ</t>
    </rPh>
    <rPh sb="9" eb="11">
      <t>ケイカク</t>
    </rPh>
    <rPh sb="12" eb="13">
      <t>モト</t>
    </rPh>
    <rPh sb="15" eb="17">
      <t>ジギョウ</t>
    </rPh>
    <phoneticPr fontId="6"/>
  </si>
  <si>
    <t>同一系統において３施設以上の廃止を伴う水道施設の統合整備事業であること</t>
    <rPh sb="0" eb="2">
      <t>ドウイツ</t>
    </rPh>
    <rPh sb="2" eb="4">
      <t>ケイトウ</t>
    </rPh>
    <rPh sb="9" eb="13">
      <t>シセツイジョウ</t>
    </rPh>
    <rPh sb="14" eb="16">
      <t>ハイシ</t>
    </rPh>
    <rPh sb="17" eb="18">
      <t>トモナ</t>
    </rPh>
    <rPh sb="19" eb="21">
      <t>スイドウ</t>
    </rPh>
    <rPh sb="21" eb="23">
      <t>シセツ</t>
    </rPh>
    <rPh sb="24" eb="26">
      <t>トウゴウ</t>
    </rPh>
    <rPh sb="26" eb="28">
      <t>セイビ</t>
    </rPh>
    <rPh sb="28" eb="30">
      <t>ジギョウ</t>
    </rPh>
    <phoneticPr fontId="6"/>
  </si>
  <si>
    <t>水道施設台帳整備事業</t>
    <rPh sb="0" eb="2">
      <t>スイドウ</t>
    </rPh>
    <rPh sb="2" eb="4">
      <t>シセツ</t>
    </rPh>
    <rPh sb="4" eb="6">
      <t>ダイチョウ</t>
    </rPh>
    <rPh sb="6" eb="8">
      <t>セイビ</t>
    </rPh>
    <rPh sb="8" eb="10">
      <t>ジギョウ</t>
    </rPh>
    <phoneticPr fontId="6"/>
  </si>
  <si>
    <t>水道施設台帳を整備する事業</t>
    <rPh sb="0" eb="2">
      <t>スイドウ</t>
    </rPh>
    <rPh sb="2" eb="4">
      <t>シセツ</t>
    </rPh>
    <rPh sb="4" eb="6">
      <t>ダイチョウ</t>
    </rPh>
    <rPh sb="7" eb="9">
      <t>セイビ</t>
    </rPh>
    <rPh sb="11" eb="13">
      <t>ジギョウ</t>
    </rPh>
    <phoneticPr fontId="6"/>
  </si>
  <si>
    <t>広域化を検討している協議会等に参加していること</t>
    <rPh sb="0" eb="3">
      <t>コウイキカ</t>
    </rPh>
    <rPh sb="4" eb="6">
      <t>ケントウ</t>
    </rPh>
    <rPh sb="10" eb="13">
      <t>キョウギカイ</t>
    </rPh>
    <rPh sb="13" eb="14">
      <t>トウ</t>
    </rPh>
    <rPh sb="15" eb="17">
      <t>サンカ</t>
    </rPh>
    <phoneticPr fontId="6"/>
  </si>
  <si>
    <t>水道施設台帳電子化促進事業</t>
    <rPh sb="0" eb="2">
      <t>スイドウ</t>
    </rPh>
    <rPh sb="2" eb="4">
      <t>シセツ</t>
    </rPh>
    <rPh sb="4" eb="6">
      <t>ダイチョウ</t>
    </rPh>
    <rPh sb="6" eb="9">
      <t>デンシカ</t>
    </rPh>
    <rPh sb="9" eb="11">
      <t>ソクシン</t>
    </rPh>
    <rPh sb="11" eb="13">
      <t>ジギョウ</t>
    </rPh>
    <phoneticPr fontId="6"/>
  </si>
  <si>
    <t>水道施設台帳の電子化を図る事業</t>
    <rPh sb="0" eb="2">
      <t>スイドウ</t>
    </rPh>
    <rPh sb="2" eb="4">
      <t>シセツ</t>
    </rPh>
    <rPh sb="4" eb="6">
      <t>ダイチョウ</t>
    </rPh>
    <rPh sb="7" eb="10">
      <t>デンシカ</t>
    </rPh>
    <rPh sb="11" eb="12">
      <t>ハカ</t>
    </rPh>
    <rPh sb="13" eb="15">
      <t>ジギョウ</t>
    </rPh>
    <phoneticPr fontId="6"/>
  </si>
  <si>
    <t>行政区域を別にする他の水道事業者等と共同で水道施設台帳の電子化を図ること</t>
    <rPh sb="0" eb="2">
      <t>ギョウセイ</t>
    </rPh>
    <rPh sb="2" eb="4">
      <t>クイキ</t>
    </rPh>
    <rPh sb="5" eb="6">
      <t>ベツ</t>
    </rPh>
    <rPh sb="9" eb="10">
      <t>ホカ</t>
    </rPh>
    <rPh sb="11" eb="13">
      <t>スイドウ</t>
    </rPh>
    <rPh sb="13" eb="15">
      <t>ジギョウ</t>
    </rPh>
    <rPh sb="15" eb="16">
      <t>シャ</t>
    </rPh>
    <rPh sb="16" eb="17">
      <t>トウ</t>
    </rPh>
    <rPh sb="18" eb="20">
      <t>キョウドウ</t>
    </rPh>
    <rPh sb="21" eb="23">
      <t>スイドウ</t>
    </rPh>
    <rPh sb="23" eb="25">
      <t>シセツ</t>
    </rPh>
    <rPh sb="25" eb="27">
      <t>ダイチョウ</t>
    </rPh>
    <rPh sb="28" eb="31">
      <t>デンシカ</t>
    </rPh>
    <rPh sb="32" eb="33">
      <t>ハカ</t>
    </rPh>
    <phoneticPr fontId="6"/>
  </si>
  <si>
    <t>水道広域化施設整備費</t>
    <rPh sb="0" eb="2">
      <t>スイドウ</t>
    </rPh>
    <rPh sb="2" eb="5">
      <t>コウイキカ</t>
    </rPh>
    <rPh sb="5" eb="7">
      <t>シセツ</t>
    </rPh>
    <rPh sb="7" eb="9">
      <t>セイビ</t>
    </rPh>
    <rPh sb="9" eb="10">
      <t>ヒ</t>
    </rPh>
    <phoneticPr fontId="6"/>
  </si>
  <si>
    <t>水道水源自動監視施設等整備事業</t>
    <rPh sb="0" eb="2">
      <t>スイドウ</t>
    </rPh>
    <rPh sb="2" eb="4">
      <t>スイゲン</t>
    </rPh>
    <rPh sb="4" eb="6">
      <t>ジドウ</t>
    </rPh>
    <rPh sb="6" eb="8">
      <t>カンシ</t>
    </rPh>
    <rPh sb="8" eb="10">
      <t>シセツ</t>
    </rPh>
    <rPh sb="10" eb="11">
      <t>トウ</t>
    </rPh>
    <rPh sb="11" eb="13">
      <t>セイビ</t>
    </rPh>
    <rPh sb="13" eb="15">
      <t>ジギョウ</t>
    </rPh>
    <phoneticPr fontId="6"/>
  </si>
  <si>
    <t>水道水源自動監視施設整備費</t>
    <rPh sb="0" eb="2">
      <t>スイドウ</t>
    </rPh>
    <rPh sb="2" eb="4">
      <t>スイゲン</t>
    </rPh>
    <rPh sb="4" eb="6">
      <t>ジドウ</t>
    </rPh>
    <rPh sb="6" eb="8">
      <t>カンシ</t>
    </rPh>
    <rPh sb="8" eb="10">
      <t>シセツ</t>
    </rPh>
    <rPh sb="10" eb="13">
      <t>セイビヒ</t>
    </rPh>
    <phoneticPr fontId="6"/>
  </si>
  <si>
    <t>水系あるいは地域単位で複数の水道事業者等が連携して体系的・効率的な水道水源の監視を行うために必要な施設の整備事業</t>
    <rPh sb="0" eb="2">
      <t>スイケイ</t>
    </rPh>
    <rPh sb="6" eb="8">
      <t>チイキ</t>
    </rPh>
    <rPh sb="8" eb="10">
      <t>タンイ</t>
    </rPh>
    <rPh sb="11" eb="13">
      <t>フクスウ</t>
    </rPh>
    <rPh sb="14" eb="16">
      <t>スイドウ</t>
    </rPh>
    <rPh sb="16" eb="18">
      <t>ジギョウ</t>
    </rPh>
    <rPh sb="18" eb="19">
      <t>シャ</t>
    </rPh>
    <rPh sb="19" eb="20">
      <t>トウ</t>
    </rPh>
    <rPh sb="21" eb="23">
      <t>レンケイ</t>
    </rPh>
    <rPh sb="25" eb="28">
      <t>タイケイテキ</t>
    </rPh>
    <rPh sb="29" eb="32">
      <t>コウリツテキ</t>
    </rPh>
    <rPh sb="33" eb="35">
      <t>スイドウ</t>
    </rPh>
    <rPh sb="35" eb="37">
      <t>スイゲン</t>
    </rPh>
    <rPh sb="38" eb="40">
      <t>カンシ</t>
    </rPh>
    <rPh sb="41" eb="42">
      <t>オコナ</t>
    </rPh>
    <rPh sb="46" eb="48">
      <t>ヒツヨウ</t>
    </rPh>
    <rPh sb="49" eb="51">
      <t>シセツ</t>
    </rPh>
    <rPh sb="52" eb="54">
      <t>セイビ</t>
    </rPh>
    <rPh sb="54" eb="56">
      <t>ジギョウ</t>
    </rPh>
    <phoneticPr fontId="6"/>
  </si>
  <si>
    <t>水道水源自動監視施設の整備が必要であること</t>
    <rPh sb="0" eb="2">
      <t>スイドウ</t>
    </rPh>
    <rPh sb="2" eb="4">
      <t>スイゲン</t>
    </rPh>
    <rPh sb="4" eb="6">
      <t>ジドウ</t>
    </rPh>
    <rPh sb="6" eb="8">
      <t>カンシ</t>
    </rPh>
    <rPh sb="8" eb="10">
      <t>シセツ</t>
    </rPh>
    <rPh sb="11" eb="13">
      <t>セイビ</t>
    </rPh>
    <rPh sb="14" eb="16">
      <t>ヒツヨウ</t>
    </rPh>
    <phoneticPr fontId="6"/>
  </si>
  <si>
    <t>２以上の水道事業者等が連携して体系的・効率的かつ計画的に24時間連続して水道水源の監視を行うこと</t>
    <rPh sb="1" eb="3">
      <t>イジョウ</t>
    </rPh>
    <rPh sb="4" eb="6">
      <t>スイドウ</t>
    </rPh>
    <rPh sb="6" eb="8">
      <t>ジギョウ</t>
    </rPh>
    <rPh sb="8" eb="9">
      <t>シャ</t>
    </rPh>
    <rPh sb="9" eb="10">
      <t>トウ</t>
    </rPh>
    <rPh sb="11" eb="13">
      <t>レンケイ</t>
    </rPh>
    <rPh sb="15" eb="18">
      <t>タイケイテキ</t>
    </rPh>
    <rPh sb="19" eb="22">
      <t>コウリツテキ</t>
    </rPh>
    <rPh sb="24" eb="27">
      <t>ケイカクテキ</t>
    </rPh>
    <rPh sb="30" eb="32">
      <t>ジカン</t>
    </rPh>
    <rPh sb="32" eb="34">
      <t>レンゾク</t>
    </rPh>
    <rPh sb="36" eb="38">
      <t>スイドウ</t>
    </rPh>
    <rPh sb="38" eb="40">
      <t>スイゲン</t>
    </rPh>
    <rPh sb="41" eb="43">
      <t>カンシ</t>
    </rPh>
    <rPh sb="44" eb="45">
      <t>オコナ</t>
    </rPh>
    <phoneticPr fontId="6"/>
  </si>
  <si>
    <t>都道府県が定める水道水質管理計画と整合性をとること</t>
    <rPh sb="0" eb="4">
      <t>トドウフケン</t>
    </rPh>
    <rPh sb="5" eb="6">
      <t>サダ</t>
    </rPh>
    <rPh sb="8" eb="10">
      <t>スイドウ</t>
    </rPh>
    <rPh sb="10" eb="12">
      <t>スイシツ</t>
    </rPh>
    <rPh sb="12" eb="14">
      <t>カンリ</t>
    </rPh>
    <rPh sb="14" eb="16">
      <t>ケイカク</t>
    </rPh>
    <rPh sb="17" eb="19">
      <t>セイゴウ</t>
    </rPh>
    <rPh sb="19" eb="20">
      <t>セイ</t>
    </rPh>
    <phoneticPr fontId="6"/>
  </si>
  <si>
    <t>遠隔監視システム整備費</t>
    <rPh sb="0" eb="2">
      <t>エンカク</t>
    </rPh>
    <rPh sb="2" eb="4">
      <t>カンシ</t>
    </rPh>
    <rPh sb="8" eb="10">
      <t>セイビ</t>
    </rPh>
    <rPh sb="10" eb="11">
      <t>ヒ</t>
    </rPh>
    <phoneticPr fontId="6"/>
  </si>
  <si>
    <t>簡易水道事業等との統合を契機として経営の効率化を図るために遠隔監視システムを整備する事業</t>
    <rPh sb="0" eb="2">
      <t>カンイ</t>
    </rPh>
    <rPh sb="2" eb="4">
      <t>スイドウ</t>
    </rPh>
    <rPh sb="4" eb="6">
      <t>ジギョウ</t>
    </rPh>
    <rPh sb="6" eb="7">
      <t>トウ</t>
    </rPh>
    <rPh sb="9" eb="11">
      <t>トウゴウ</t>
    </rPh>
    <rPh sb="12" eb="14">
      <t>ケイキ</t>
    </rPh>
    <rPh sb="17" eb="19">
      <t>ケイエイ</t>
    </rPh>
    <rPh sb="20" eb="23">
      <t>コウリツカ</t>
    </rPh>
    <rPh sb="24" eb="25">
      <t>ハカ</t>
    </rPh>
    <rPh sb="29" eb="31">
      <t>エンカク</t>
    </rPh>
    <rPh sb="31" eb="33">
      <t>カンシ</t>
    </rPh>
    <rPh sb="38" eb="40">
      <t>セイビ</t>
    </rPh>
    <rPh sb="42" eb="44">
      <t>ジギョウ</t>
    </rPh>
    <phoneticPr fontId="6"/>
  </si>
  <si>
    <t>簡易水道事業統合計画に基づき簡易水道事業等と統合した水道事業者であること　等</t>
    <rPh sb="0" eb="2">
      <t>カンイ</t>
    </rPh>
    <rPh sb="2" eb="4">
      <t>スイドウ</t>
    </rPh>
    <rPh sb="4" eb="6">
      <t>ジギョウ</t>
    </rPh>
    <rPh sb="6" eb="8">
      <t>トウゴウ</t>
    </rPh>
    <rPh sb="8" eb="10">
      <t>ケイカク</t>
    </rPh>
    <rPh sb="11" eb="12">
      <t>モト</t>
    </rPh>
    <rPh sb="14" eb="16">
      <t>カンイ</t>
    </rPh>
    <rPh sb="16" eb="18">
      <t>スイドウ</t>
    </rPh>
    <rPh sb="18" eb="20">
      <t>ジギョウ</t>
    </rPh>
    <rPh sb="20" eb="21">
      <t>トウ</t>
    </rPh>
    <rPh sb="22" eb="24">
      <t>トウゴウ</t>
    </rPh>
    <rPh sb="26" eb="28">
      <t>スイドウ</t>
    </rPh>
    <rPh sb="28" eb="30">
      <t>ジギョウ</t>
    </rPh>
    <rPh sb="30" eb="31">
      <t>シャ</t>
    </rPh>
    <rPh sb="37" eb="38">
      <t>トウ</t>
    </rPh>
    <phoneticPr fontId="6"/>
  </si>
  <si>
    <t>官民連携等基盤強化推進事業</t>
    <rPh sb="0" eb="2">
      <t>カンミン</t>
    </rPh>
    <rPh sb="2" eb="4">
      <t>レンケイ</t>
    </rPh>
    <rPh sb="4" eb="5">
      <t>トウ</t>
    </rPh>
    <rPh sb="5" eb="7">
      <t>キバン</t>
    </rPh>
    <rPh sb="7" eb="9">
      <t>キョウカ</t>
    </rPh>
    <rPh sb="9" eb="11">
      <t>スイシン</t>
    </rPh>
    <rPh sb="11" eb="13">
      <t>ジギョウ</t>
    </rPh>
    <phoneticPr fontId="6"/>
  </si>
  <si>
    <t>水道事業における官民連携の導入に向けた調査、検討及び計画作成等に関する事業</t>
    <rPh sb="0" eb="2">
      <t>スイドウ</t>
    </rPh>
    <rPh sb="2" eb="4">
      <t>ジギョウ</t>
    </rPh>
    <rPh sb="8" eb="10">
      <t>カンミン</t>
    </rPh>
    <rPh sb="10" eb="12">
      <t>レンケイ</t>
    </rPh>
    <rPh sb="13" eb="15">
      <t>ドウニュウ</t>
    </rPh>
    <rPh sb="16" eb="17">
      <t>ム</t>
    </rPh>
    <rPh sb="19" eb="21">
      <t>チョウサ</t>
    </rPh>
    <rPh sb="22" eb="24">
      <t>ケントウ</t>
    </rPh>
    <rPh sb="24" eb="25">
      <t>オヨ</t>
    </rPh>
    <rPh sb="26" eb="28">
      <t>ケイカク</t>
    </rPh>
    <rPh sb="28" eb="30">
      <t>サクセイ</t>
    </rPh>
    <rPh sb="30" eb="31">
      <t>トウ</t>
    </rPh>
    <rPh sb="32" eb="33">
      <t>カン</t>
    </rPh>
    <rPh sb="35" eb="37">
      <t>ジギョウ</t>
    </rPh>
    <phoneticPr fontId="6"/>
  </si>
  <si>
    <t>水道事業におけるIoT活用推進モデル事業</t>
    <rPh sb="0" eb="2">
      <t>スイドウ</t>
    </rPh>
    <rPh sb="2" eb="4">
      <t>ジギョウ</t>
    </rPh>
    <rPh sb="11" eb="13">
      <t>カツヨウ</t>
    </rPh>
    <rPh sb="13" eb="15">
      <t>スイシン</t>
    </rPh>
    <rPh sb="18" eb="20">
      <t>ジギョウ</t>
    </rPh>
    <phoneticPr fontId="6"/>
  </si>
  <si>
    <t>先端技術を活用した設備を導入する事業</t>
    <rPh sb="0" eb="2">
      <t>センタン</t>
    </rPh>
    <rPh sb="2" eb="4">
      <t>ギジュツ</t>
    </rPh>
    <rPh sb="5" eb="7">
      <t>カツヨウ</t>
    </rPh>
    <rPh sb="9" eb="11">
      <t>セツビ</t>
    </rPh>
    <rPh sb="12" eb="14">
      <t>ドウニュウ</t>
    </rPh>
    <rPh sb="16" eb="18">
      <t>ジギョウ</t>
    </rPh>
    <phoneticPr fontId="6"/>
  </si>
  <si>
    <t>生活基盤施設耐震化等効果促進事業</t>
    <rPh sb="0" eb="2">
      <t>セイカツ</t>
    </rPh>
    <rPh sb="2" eb="4">
      <t>キバン</t>
    </rPh>
    <rPh sb="4" eb="6">
      <t>シセツ</t>
    </rPh>
    <rPh sb="6" eb="9">
      <t>タイシンカ</t>
    </rPh>
    <rPh sb="9" eb="10">
      <t>トウ</t>
    </rPh>
    <rPh sb="10" eb="12">
      <t>コウカ</t>
    </rPh>
    <rPh sb="12" eb="14">
      <t>ソクシン</t>
    </rPh>
    <rPh sb="14" eb="16">
      <t>ジギョウ</t>
    </rPh>
    <phoneticPr fontId="6"/>
  </si>
  <si>
    <t>水道事業者等における計画策定等のソフト事業</t>
    <rPh sb="0" eb="2">
      <t>スイドウ</t>
    </rPh>
    <rPh sb="2" eb="4">
      <t>ジギョウ</t>
    </rPh>
    <rPh sb="4" eb="5">
      <t>シャ</t>
    </rPh>
    <rPh sb="5" eb="6">
      <t>トウ</t>
    </rPh>
    <rPh sb="10" eb="12">
      <t>ケイカク</t>
    </rPh>
    <rPh sb="12" eb="14">
      <t>サクテイ</t>
    </rPh>
    <rPh sb="14" eb="15">
      <t>トウ</t>
    </rPh>
    <rPh sb="19" eb="21">
      <t>ジギョウ</t>
    </rPh>
    <phoneticPr fontId="6"/>
  </si>
  <si>
    <t>目　　　　　　　　次</t>
    <rPh sb="0" eb="1">
      <t>メ</t>
    </rPh>
    <rPh sb="9" eb="10">
      <t>ツギ</t>
    </rPh>
    <phoneticPr fontId="6"/>
  </si>
  <si>
    <t>（凡例）</t>
    <rPh sb="1" eb="3">
      <t>ハンレイ</t>
    </rPh>
    <phoneticPr fontId="6"/>
  </si>
  <si>
    <t>Ⅰ　概況</t>
    <phoneticPr fontId="6"/>
  </si>
  <si>
    <t>１．</t>
    <phoneticPr fontId="6"/>
  </si>
  <si>
    <t>総括</t>
    <rPh sb="0" eb="2">
      <t>ソウカツ</t>
    </rPh>
    <phoneticPr fontId="6"/>
  </si>
  <si>
    <t>２．</t>
    <phoneticPr fontId="6"/>
  </si>
  <si>
    <t>３．</t>
    <phoneticPr fontId="6"/>
  </si>
  <si>
    <t>水道の種類別箇所数の推移、給水人口及び普及率の推移</t>
    <rPh sb="0" eb="2">
      <t>スイドウ</t>
    </rPh>
    <rPh sb="3" eb="5">
      <t>シュルイ</t>
    </rPh>
    <rPh sb="5" eb="6">
      <t>ベツ</t>
    </rPh>
    <rPh sb="6" eb="8">
      <t>カショ</t>
    </rPh>
    <rPh sb="8" eb="9">
      <t>スウ</t>
    </rPh>
    <rPh sb="10" eb="12">
      <t>スイイ</t>
    </rPh>
    <rPh sb="13" eb="15">
      <t>キュウスイ</t>
    </rPh>
    <rPh sb="15" eb="17">
      <t>ジンコウ</t>
    </rPh>
    <rPh sb="17" eb="18">
      <t>オヨ</t>
    </rPh>
    <rPh sb="19" eb="21">
      <t>フキュウ</t>
    </rPh>
    <rPh sb="21" eb="22">
      <t>リツ</t>
    </rPh>
    <rPh sb="23" eb="25">
      <t>スイイ</t>
    </rPh>
    <phoneticPr fontId="6"/>
  </si>
  <si>
    <t>４．</t>
    <phoneticPr fontId="6"/>
  </si>
  <si>
    <t>都道府県別の給水人口、普及率及び水道数</t>
    <rPh sb="0" eb="4">
      <t>トドウフケン</t>
    </rPh>
    <rPh sb="4" eb="5">
      <t>ベツ</t>
    </rPh>
    <rPh sb="6" eb="8">
      <t>キュウスイ</t>
    </rPh>
    <rPh sb="8" eb="10">
      <t>ジンコウ</t>
    </rPh>
    <rPh sb="11" eb="13">
      <t>フキュウ</t>
    </rPh>
    <rPh sb="13" eb="14">
      <t>リツ</t>
    </rPh>
    <rPh sb="14" eb="15">
      <t>オヨ</t>
    </rPh>
    <rPh sb="16" eb="18">
      <t>スイドウ</t>
    </rPh>
    <rPh sb="18" eb="19">
      <t>スウ</t>
    </rPh>
    <phoneticPr fontId="6"/>
  </si>
  <si>
    <t>５．</t>
    <phoneticPr fontId="6"/>
  </si>
  <si>
    <t>地域振興局別の箇所数、給水人口及び普及率</t>
    <rPh sb="0" eb="2">
      <t>チイキ</t>
    </rPh>
    <rPh sb="2" eb="4">
      <t>シンコウ</t>
    </rPh>
    <rPh sb="4" eb="5">
      <t>キョク</t>
    </rPh>
    <rPh sb="5" eb="6">
      <t>ベツ</t>
    </rPh>
    <rPh sb="7" eb="9">
      <t>カショ</t>
    </rPh>
    <rPh sb="9" eb="10">
      <t>スウ</t>
    </rPh>
    <rPh sb="11" eb="13">
      <t>キュウスイ</t>
    </rPh>
    <rPh sb="13" eb="15">
      <t>ジンコウ</t>
    </rPh>
    <rPh sb="15" eb="16">
      <t>オヨ</t>
    </rPh>
    <rPh sb="17" eb="19">
      <t>フキュウ</t>
    </rPh>
    <rPh sb="19" eb="20">
      <t>リツ</t>
    </rPh>
    <phoneticPr fontId="6"/>
  </si>
  <si>
    <t>６．</t>
    <phoneticPr fontId="6"/>
  </si>
  <si>
    <t>市町村別の箇所数、給水人口及び普及率</t>
    <rPh sb="0" eb="3">
      <t>シチョウソン</t>
    </rPh>
    <rPh sb="3" eb="4">
      <t>ベツ</t>
    </rPh>
    <rPh sb="5" eb="7">
      <t>カショ</t>
    </rPh>
    <rPh sb="7" eb="8">
      <t>スウ</t>
    </rPh>
    <rPh sb="9" eb="11">
      <t>キュウスイ</t>
    </rPh>
    <rPh sb="11" eb="13">
      <t>ジンコウ</t>
    </rPh>
    <rPh sb="13" eb="14">
      <t>オヨ</t>
    </rPh>
    <rPh sb="15" eb="17">
      <t>フキュウ</t>
    </rPh>
    <rPh sb="17" eb="18">
      <t>リツ</t>
    </rPh>
    <phoneticPr fontId="6"/>
  </si>
  <si>
    <t>７．</t>
    <phoneticPr fontId="6"/>
  </si>
  <si>
    <t>給水量の推移</t>
    <rPh sb="0" eb="1">
      <t>キュウ</t>
    </rPh>
    <rPh sb="1" eb="3">
      <t>スイリョウ</t>
    </rPh>
    <rPh sb="4" eb="6">
      <t>スイイ</t>
    </rPh>
    <phoneticPr fontId="6"/>
  </si>
  <si>
    <t>Ⅱ　水道用水供給事業</t>
    <phoneticPr fontId="6"/>
  </si>
  <si>
    <t>８．</t>
    <phoneticPr fontId="6"/>
  </si>
  <si>
    <t>事業計画概要及び給水対象（用水供給）</t>
    <rPh sb="0" eb="2">
      <t>ジギョウ</t>
    </rPh>
    <rPh sb="2" eb="4">
      <t>ケイカク</t>
    </rPh>
    <rPh sb="4" eb="6">
      <t>ガイヨウ</t>
    </rPh>
    <rPh sb="6" eb="7">
      <t>オヨ</t>
    </rPh>
    <rPh sb="8" eb="10">
      <t>キュウスイ</t>
    </rPh>
    <rPh sb="10" eb="12">
      <t>タイショウ</t>
    </rPh>
    <rPh sb="13" eb="15">
      <t>ヨウスイ</t>
    </rPh>
    <rPh sb="15" eb="17">
      <t>キョウキュウ</t>
    </rPh>
    <phoneticPr fontId="6"/>
  </si>
  <si>
    <t>９．</t>
    <phoneticPr fontId="6"/>
  </si>
  <si>
    <t>取水量、浄水量、給水量及び施設耐震化状況（用水供給）</t>
    <rPh sb="0" eb="2">
      <t>シュスイ</t>
    </rPh>
    <rPh sb="2" eb="3">
      <t>リョウ</t>
    </rPh>
    <rPh sb="4" eb="6">
      <t>ジョウスイ</t>
    </rPh>
    <rPh sb="6" eb="7">
      <t>リョウ</t>
    </rPh>
    <rPh sb="8" eb="9">
      <t>キュウ</t>
    </rPh>
    <rPh sb="9" eb="11">
      <t>スイリョウ</t>
    </rPh>
    <rPh sb="11" eb="12">
      <t>オヨ</t>
    </rPh>
    <rPh sb="13" eb="15">
      <t>シセツ</t>
    </rPh>
    <rPh sb="15" eb="18">
      <t>タイシンカ</t>
    </rPh>
    <rPh sb="18" eb="20">
      <t>ジョウキョウ</t>
    </rPh>
    <rPh sb="21" eb="23">
      <t>ヨウスイ</t>
    </rPh>
    <rPh sb="23" eb="25">
      <t>キョウキュウ</t>
    </rPh>
    <phoneticPr fontId="6"/>
  </si>
  <si>
    <t>１０．</t>
    <phoneticPr fontId="6"/>
  </si>
  <si>
    <t>管延長並びに管路耐震化及び経年化状況（用水供給）</t>
    <rPh sb="0" eb="1">
      <t>カン</t>
    </rPh>
    <rPh sb="1" eb="3">
      <t>エンチョウ</t>
    </rPh>
    <rPh sb="3" eb="4">
      <t>ナラ</t>
    </rPh>
    <rPh sb="6" eb="8">
      <t>カンロ</t>
    </rPh>
    <rPh sb="8" eb="11">
      <t>タイシンカ</t>
    </rPh>
    <rPh sb="11" eb="12">
      <t>オヨ</t>
    </rPh>
    <rPh sb="13" eb="16">
      <t>ケイネンカ</t>
    </rPh>
    <rPh sb="16" eb="18">
      <t>ジョウキョウ</t>
    </rPh>
    <rPh sb="19" eb="21">
      <t>ヨウスイ</t>
    </rPh>
    <rPh sb="21" eb="23">
      <t>キョウキュウ</t>
    </rPh>
    <phoneticPr fontId="6"/>
  </si>
  <si>
    <t>１１．</t>
    <phoneticPr fontId="6"/>
  </si>
  <si>
    <t>財務状況（用水供給）</t>
    <rPh sb="0" eb="2">
      <t>ザイム</t>
    </rPh>
    <rPh sb="2" eb="4">
      <t>ジョウキョウ</t>
    </rPh>
    <rPh sb="5" eb="7">
      <t>ヨウスイ</t>
    </rPh>
    <rPh sb="7" eb="9">
      <t>キョウキュウ</t>
    </rPh>
    <phoneticPr fontId="6"/>
  </si>
  <si>
    <t>Ⅲ　上水道事業</t>
    <phoneticPr fontId="6"/>
  </si>
  <si>
    <t>１２．</t>
    <phoneticPr fontId="6"/>
  </si>
  <si>
    <t>事業計画概要、給水人口、普及率、給水量及び料金（上水道）</t>
    <rPh sb="0" eb="2">
      <t>ジギョウ</t>
    </rPh>
    <rPh sb="2" eb="4">
      <t>ケイカク</t>
    </rPh>
    <rPh sb="4" eb="6">
      <t>ガイヨウ</t>
    </rPh>
    <rPh sb="7" eb="9">
      <t>キュウスイ</t>
    </rPh>
    <rPh sb="9" eb="11">
      <t>ジンコウ</t>
    </rPh>
    <rPh sb="12" eb="14">
      <t>フキュウ</t>
    </rPh>
    <rPh sb="14" eb="15">
      <t>リツ</t>
    </rPh>
    <rPh sb="16" eb="17">
      <t>キュウ</t>
    </rPh>
    <rPh sb="17" eb="19">
      <t>スイリョウ</t>
    </rPh>
    <rPh sb="19" eb="20">
      <t>オヨ</t>
    </rPh>
    <rPh sb="21" eb="23">
      <t>リョウキン</t>
    </rPh>
    <rPh sb="24" eb="25">
      <t>ジョウ</t>
    </rPh>
    <rPh sb="25" eb="27">
      <t>スイドウ</t>
    </rPh>
    <phoneticPr fontId="6"/>
  </si>
  <si>
    <t>１３．</t>
    <phoneticPr fontId="6"/>
  </si>
  <si>
    <t>取水量、浄水量及び配水池容量等（上水道）</t>
    <rPh sb="0" eb="2">
      <t>シュスイ</t>
    </rPh>
    <rPh sb="2" eb="3">
      <t>リョウ</t>
    </rPh>
    <rPh sb="4" eb="6">
      <t>ジョウスイ</t>
    </rPh>
    <rPh sb="6" eb="7">
      <t>リョウ</t>
    </rPh>
    <rPh sb="7" eb="8">
      <t>オヨ</t>
    </rPh>
    <rPh sb="9" eb="12">
      <t>ハイスイチ</t>
    </rPh>
    <rPh sb="12" eb="14">
      <t>ヨウリョウ</t>
    </rPh>
    <rPh sb="14" eb="15">
      <t>トウ</t>
    </rPh>
    <rPh sb="16" eb="17">
      <t>ジョウ</t>
    </rPh>
    <rPh sb="17" eb="19">
      <t>スイドウ</t>
    </rPh>
    <phoneticPr fontId="6"/>
  </si>
  <si>
    <t>１４．</t>
    <phoneticPr fontId="6"/>
  </si>
  <si>
    <t>用途別有収水量（上水道）</t>
    <rPh sb="0" eb="2">
      <t>ヨウト</t>
    </rPh>
    <rPh sb="2" eb="3">
      <t>ベツ</t>
    </rPh>
    <rPh sb="3" eb="4">
      <t>ユウ</t>
    </rPh>
    <rPh sb="4" eb="5">
      <t>シュウ</t>
    </rPh>
    <rPh sb="5" eb="7">
      <t>スイリョウ</t>
    </rPh>
    <rPh sb="8" eb="9">
      <t>ジョウ</t>
    </rPh>
    <rPh sb="9" eb="11">
      <t>スイドウ</t>
    </rPh>
    <phoneticPr fontId="6"/>
  </si>
  <si>
    <t>１５．</t>
    <phoneticPr fontId="6"/>
  </si>
  <si>
    <t>口径別有収水量（上水道）</t>
    <rPh sb="0" eb="2">
      <t>コウケイ</t>
    </rPh>
    <rPh sb="2" eb="3">
      <t>ベツ</t>
    </rPh>
    <rPh sb="3" eb="4">
      <t>ユウ</t>
    </rPh>
    <rPh sb="4" eb="5">
      <t>シュウ</t>
    </rPh>
    <rPh sb="5" eb="7">
      <t>スイリョウ</t>
    </rPh>
    <rPh sb="8" eb="9">
      <t>ジョウ</t>
    </rPh>
    <rPh sb="9" eb="11">
      <t>スイドウ</t>
    </rPh>
    <phoneticPr fontId="6"/>
  </si>
  <si>
    <t>１６．</t>
    <phoneticPr fontId="6"/>
  </si>
  <si>
    <t>管延長（上水道）</t>
    <rPh sb="0" eb="1">
      <t>カン</t>
    </rPh>
    <rPh sb="1" eb="3">
      <t>エンチョウ</t>
    </rPh>
    <rPh sb="4" eb="5">
      <t>ジョウ</t>
    </rPh>
    <rPh sb="5" eb="7">
      <t>スイドウ</t>
    </rPh>
    <phoneticPr fontId="6"/>
  </si>
  <si>
    <t>１７．</t>
    <phoneticPr fontId="6"/>
  </si>
  <si>
    <t>耐震適合性のある管路延長（上水道）</t>
    <rPh sb="0" eb="2">
      <t>タイシン</t>
    </rPh>
    <rPh sb="2" eb="5">
      <t>テキゴウセイ</t>
    </rPh>
    <rPh sb="8" eb="9">
      <t>カン</t>
    </rPh>
    <rPh sb="9" eb="10">
      <t>ロ</t>
    </rPh>
    <rPh sb="10" eb="12">
      <t>エンチョウ</t>
    </rPh>
    <rPh sb="13" eb="14">
      <t>ジョウ</t>
    </rPh>
    <rPh sb="14" eb="16">
      <t>スイドウ</t>
    </rPh>
    <phoneticPr fontId="6"/>
  </si>
  <si>
    <t>１８．</t>
    <phoneticPr fontId="6"/>
  </si>
  <si>
    <t>管路の経年化状況（上水道）</t>
    <rPh sb="0" eb="2">
      <t>カンロ</t>
    </rPh>
    <rPh sb="3" eb="6">
      <t>ケイネンカ</t>
    </rPh>
    <rPh sb="6" eb="8">
      <t>ジョウキョウ</t>
    </rPh>
    <rPh sb="9" eb="12">
      <t>ジョウスイドウ</t>
    </rPh>
    <phoneticPr fontId="6"/>
  </si>
  <si>
    <t>１９．</t>
    <phoneticPr fontId="6"/>
  </si>
  <si>
    <t>施設耐震化状況及び災害時確保水量（上水道）</t>
    <rPh sb="0" eb="2">
      <t>シセツ</t>
    </rPh>
    <rPh sb="2" eb="5">
      <t>タイシンカ</t>
    </rPh>
    <rPh sb="5" eb="7">
      <t>ジョウキョウ</t>
    </rPh>
    <rPh sb="7" eb="8">
      <t>オヨ</t>
    </rPh>
    <rPh sb="9" eb="11">
      <t>サイガイ</t>
    </rPh>
    <rPh sb="11" eb="12">
      <t>ジ</t>
    </rPh>
    <rPh sb="12" eb="14">
      <t>カクホ</t>
    </rPh>
    <rPh sb="14" eb="16">
      <t>スイリョウ</t>
    </rPh>
    <rPh sb="17" eb="18">
      <t>ジョウ</t>
    </rPh>
    <rPh sb="18" eb="20">
      <t>スイドウ</t>
    </rPh>
    <phoneticPr fontId="6"/>
  </si>
  <si>
    <t>２０．</t>
    <phoneticPr fontId="6"/>
  </si>
  <si>
    <t>財務状況（上水道）</t>
    <rPh sb="0" eb="2">
      <t>ザイム</t>
    </rPh>
    <rPh sb="2" eb="4">
      <t>ジョウキョウ</t>
    </rPh>
    <rPh sb="5" eb="6">
      <t>ジョウ</t>
    </rPh>
    <rPh sb="6" eb="8">
      <t>スイドウ</t>
    </rPh>
    <phoneticPr fontId="6"/>
  </si>
  <si>
    <t>Ⅳ　簡易水道事業</t>
    <phoneticPr fontId="6"/>
  </si>
  <si>
    <t>２１．</t>
    <phoneticPr fontId="6"/>
  </si>
  <si>
    <t>事業計画概要、給水人口、普及率、給水量及び料金（簡易水道）</t>
    <rPh sb="0" eb="2">
      <t>ジギョウ</t>
    </rPh>
    <rPh sb="2" eb="4">
      <t>ケイカク</t>
    </rPh>
    <rPh sb="4" eb="6">
      <t>ガイヨウ</t>
    </rPh>
    <rPh sb="7" eb="9">
      <t>キュウスイ</t>
    </rPh>
    <rPh sb="9" eb="11">
      <t>ジンコウ</t>
    </rPh>
    <rPh sb="12" eb="14">
      <t>フキュウ</t>
    </rPh>
    <rPh sb="14" eb="15">
      <t>リツ</t>
    </rPh>
    <rPh sb="16" eb="17">
      <t>キュウ</t>
    </rPh>
    <rPh sb="17" eb="19">
      <t>スイリョウ</t>
    </rPh>
    <rPh sb="19" eb="20">
      <t>オヨ</t>
    </rPh>
    <rPh sb="21" eb="23">
      <t>リョウキン</t>
    </rPh>
    <rPh sb="24" eb="26">
      <t>カンイ</t>
    </rPh>
    <rPh sb="26" eb="28">
      <t>スイドウ</t>
    </rPh>
    <phoneticPr fontId="6"/>
  </si>
  <si>
    <t>２２．</t>
    <phoneticPr fontId="6"/>
  </si>
  <si>
    <t>取水量及び浄水量（簡易水道）</t>
    <rPh sb="0" eb="2">
      <t>シュスイ</t>
    </rPh>
    <rPh sb="2" eb="3">
      <t>リョウ</t>
    </rPh>
    <rPh sb="3" eb="4">
      <t>オヨ</t>
    </rPh>
    <rPh sb="5" eb="7">
      <t>ジョウスイ</t>
    </rPh>
    <rPh sb="7" eb="8">
      <t>リョウ</t>
    </rPh>
    <rPh sb="9" eb="11">
      <t>カンイ</t>
    </rPh>
    <rPh sb="11" eb="13">
      <t>スイドウ</t>
    </rPh>
    <phoneticPr fontId="6"/>
  </si>
  <si>
    <t>２３．</t>
    <phoneticPr fontId="6"/>
  </si>
  <si>
    <t>配水池容量及び管延長等（簡易水道）</t>
    <rPh sb="0" eb="2">
      <t>ハイスイ</t>
    </rPh>
    <rPh sb="2" eb="3">
      <t>イケ</t>
    </rPh>
    <rPh sb="3" eb="5">
      <t>ヨウリョウ</t>
    </rPh>
    <rPh sb="5" eb="6">
      <t>オヨ</t>
    </rPh>
    <rPh sb="7" eb="8">
      <t>カン</t>
    </rPh>
    <rPh sb="8" eb="10">
      <t>エンチョウ</t>
    </rPh>
    <rPh sb="10" eb="11">
      <t>トウ</t>
    </rPh>
    <rPh sb="12" eb="14">
      <t>カンイ</t>
    </rPh>
    <rPh sb="14" eb="16">
      <t>スイドウ</t>
    </rPh>
    <phoneticPr fontId="6"/>
  </si>
  <si>
    <t>Ⅴ　専用水道</t>
    <phoneticPr fontId="6"/>
  </si>
  <si>
    <t>２４．</t>
    <phoneticPr fontId="6"/>
  </si>
  <si>
    <t>給水人口、施設能力、原水種別等（専用水道）</t>
    <rPh sb="0" eb="2">
      <t>キュウスイ</t>
    </rPh>
    <rPh sb="2" eb="4">
      <t>ジンコウ</t>
    </rPh>
    <rPh sb="5" eb="7">
      <t>シセツ</t>
    </rPh>
    <rPh sb="7" eb="9">
      <t>ノウリョク</t>
    </rPh>
    <rPh sb="10" eb="12">
      <t>ゲンスイ</t>
    </rPh>
    <rPh sb="12" eb="14">
      <t>シュベツ</t>
    </rPh>
    <rPh sb="14" eb="15">
      <t>トウ</t>
    </rPh>
    <rPh sb="16" eb="18">
      <t>センヨウ</t>
    </rPh>
    <rPh sb="18" eb="20">
      <t>スイドウ</t>
    </rPh>
    <phoneticPr fontId="6"/>
  </si>
  <si>
    <t>Ⅵ　国庫補助事業、交付金事業及び県費補助事業</t>
    <rPh sb="9" eb="12">
      <t>コウフキン</t>
    </rPh>
    <rPh sb="12" eb="14">
      <t>ジギョウ</t>
    </rPh>
    <phoneticPr fontId="6"/>
  </si>
  <si>
    <t>２５．</t>
    <phoneticPr fontId="6"/>
  </si>
  <si>
    <t>国庫補助事業及び交付金事業の事業内容及び事業費等</t>
    <rPh sb="0" eb="2">
      <t>コッコ</t>
    </rPh>
    <rPh sb="2" eb="4">
      <t>ホジョ</t>
    </rPh>
    <rPh sb="4" eb="6">
      <t>ジギョウ</t>
    </rPh>
    <rPh sb="6" eb="7">
      <t>オヨ</t>
    </rPh>
    <rPh sb="8" eb="11">
      <t>コウフキン</t>
    </rPh>
    <rPh sb="11" eb="13">
      <t>ジギョウ</t>
    </rPh>
    <rPh sb="14" eb="16">
      <t>ジギョウ</t>
    </rPh>
    <rPh sb="16" eb="18">
      <t>ナイヨウ</t>
    </rPh>
    <rPh sb="18" eb="19">
      <t>オヨ</t>
    </rPh>
    <rPh sb="20" eb="23">
      <t>ジギョウヒ</t>
    </rPh>
    <rPh sb="23" eb="24">
      <t>トウ</t>
    </rPh>
    <phoneticPr fontId="6"/>
  </si>
  <si>
    <t>２６．</t>
    <phoneticPr fontId="6"/>
  </si>
  <si>
    <t>国庫補助事業及び交付金事業の事業数及び補助金等の推移</t>
    <rPh sb="0" eb="2">
      <t>コッコ</t>
    </rPh>
    <rPh sb="2" eb="4">
      <t>ホジョ</t>
    </rPh>
    <rPh sb="4" eb="6">
      <t>ジギョウ</t>
    </rPh>
    <rPh sb="6" eb="7">
      <t>オヨ</t>
    </rPh>
    <rPh sb="8" eb="11">
      <t>コウフキン</t>
    </rPh>
    <rPh sb="11" eb="13">
      <t>ジギョウ</t>
    </rPh>
    <rPh sb="14" eb="16">
      <t>ジギョウ</t>
    </rPh>
    <rPh sb="16" eb="17">
      <t>スウ</t>
    </rPh>
    <rPh sb="17" eb="18">
      <t>オヨ</t>
    </rPh>
    <rPh sb="19" eb="22">
      <t>ホジョキン</t>
    </rPh>
    <rPh sb="22" eb="23">
      <t>トウ</t>
    </rPh>
    <rPh sb="24" eb="26">
      <t>スイイ</t>
    </rPh>
    <phoneticPr fontId="6"/>
  </si>
  <si>
    <t>２７．</t>
    <phoneticPr fontId="6"/>
  </si>
  <si>
    <t>県費補助事業の事業内容及び事業費等</t>
    <rPh sb="0" eb="2">
      <t>ケンピ</t>
    </rPh>
    <rPh sb="2" eb="4">
      <t>ホジョ</t>
    </rPh>
    <rPh sb="4" eb="6">
      <t>ジギョウ</t>
    </rPh>
    <rPh sb="7" eb="9">
      <t>ジギョウ</t>
    </rPh>
    <rPh sb="9" eb="11">
      <t>ナイヨウ</t>
    </rPh>
    <rPh sb="11" eb="12">
      <t>オヨ</t>
    </rPh>
    <rPh sb="13" eb="16">
      <t>ジギョウヒ</t>
    </rPh>
    <rPh sb="16" eb="17">
      <t>トウ</t>
    </rPh>
    <phoneticPr fontId="6"/>
  </si>
  <si>
    <t>２８．</t>
    <phoneticPr fontId="6"/>
  </si>
  <si>
    <t>県費補助事業の事業数及び補助金等の推移</t>
    <rPh sb="0" eb="2">
      <t>ケンピ</t>
    </rPh>
    <rPh sb="2" eb="4">
      <t>ホジョ</t>
    </rPh>
    <rPh sb="4" eb="6">
      <t>ジギョウ</t>
    </rPh>
    <rPh sb="7" eb="9">
      <t>ジギョウ</t>
    </rPh>
    <rPh sb="9" eb="10">
      <t>スウ</t>
    </rPh>
    <rPh sb="10" eb="11">
      <t>オヨ</t>
    </rPh>
    <rPh sb="12" eb="15">
      <t>ホジョキン</t>
    </rPh>
    <rPh sb="15" eb="16">
      <t>トウ</t>
    </rPh>
    <rPh sb="17" eb="19">
      <t>スイイ</t>
    </rPh>
    <phoneticPr fontId="6"/>
  </si>
  <si>
    <t>２９．</t>
    <phoneticPr fontId="6"/>
  </si>
  <si>
    <t>水道関連ダムの概況</t>
    <rPh sb="0" eb="2">
      <t>スイドウ</t>
    </rPh>
    <rPh sb="2" eb="4">
      <t>カンレン</t>
    </rPh>
    <rPh sb="7" eb="9">
      <t>ガイキョウ</t>
    </rPh>
    <phoneticPr fontId="6"/>
  </si>
  <si>
    <t>Ⅶ　その他</t>
    <phoneticPr fontId="6"/>
  </si>
  <si>
    <t>３０．</t>
    <phoneticPr fontId="6"/>
  </si>
  <si>
    <t>３１．</t>
    <phoneticPr fontId="6"/>
  </si>
  <si>
    <t>複数の市町村にまたがる上水道及び簡易水道</t>
    <rPh sb="0" eb="2">
      <t>フクスウ</t>
    </rPh>
    <rPh sb="3" eb="6">
      <t>シチョウソン</t>
    </rPh>
    <rPh sb="11" eb="12">
      <t>ジョウ</t>
    </rPh>
    <rPh sb="12" eb="14">
      <t>スイドウ</t>
    </rPh>
    <rPh sb="14" eb="15">
      <t>オヨ</t>
    </rPh>
    <rPh sb="16" eb="18">
      <t>カンイ</t>
    </rPh>
    <rPh sb="18" eb="20">
      <t>スイドウ</t>
    </rPh>
    <phoneticPr fontId="6"/>
  </si>
  <si>
    <t>３２．</t>
    <phoneticPr fontId="6"/>
  </si>
  <si>
    <t>水質検査状況</t>
    <rPh sb="0" eb="2">
      <t>スイシツ</t>
    </rPh>
    <rPh sb="2" eb="4">
      <t>ケンサ</t>
    </rPh>
    <rPh sb="4" eb="6">
      <t>ジョウキョウ</t>
    </rPh>
    <phoneticPr fontId="6"/>
  </si>
  <si>
    <t>３３．</t>
  </si>
  <si>
    <t>簡易専用水道検査状況</t>
    <rPh sb="0" eb="2">
      <t>カンイ</t>
    </rPh>
    <rPh sb="2" eb="4">
      <t>センヨウ</t>
    </rPh>
    <rPh sb="4" eb="6">
      <t>スイドウ</t>
    </rPh>
    <rPh sb="6" eb="8">
      <t>ケンサ</t>
    </rPh>
    <rPh sb="8" eb="10">
      <t>ジョウキョウ</t>
    </rPh>
    <phoneticPr fontId="6"/>
  </si>
  <si>
    <t>３４．</t>
    <phoneticPr fontId="6"/>
  </si>
  <si>
    <t>３５．</t>
    <phoneticPr fontId="6"/>
  </si>
  <si>
    <t>水道水質基準と検査頻度</t>
    <rPh sb="0" eb="2">
      <t>スイドウ</t>
    </rPh>
    <rPh sb="2" eb="4">
      <t>スイシツ</t>
    </rPh>
    <rPh sb="4" eb="6">
      <t>キジュン</t>
    </rPh>
    <rPh sb="7" eb="9">
      <t>ケンサ</t>
    </rPh>
    <rPh sb="9" eb="11">
      <t>ヒンド</t>
    </rPh>
    <phoneticPr fontId="6"/>
  </si>
  <si>
    <t>３６．</t>
    <phoneticPr fontId="6"/>
  </si>
  <si>
    <t>３７．</t>
    <phoneticPr fontId="6"/>
  </si>
  <si>
    <t>水道施設整備費補助金及び生活基盤施設耐震化等交付金の概要</t>
    <rPh sb="0" eb="2">
      <t>スイドウ</t>
    </rPh>
    <rPh sb="2" eb="4">
      <t>シセツ</t>
    </rPh>
    <rPh sb="4" eb="7">
      <t>セイビヒ</t>
    </rPh>
    <rPh sb="7" eb="10">
      <t>ホジョキン</t>
    </rPh>
    <rPh sb="10" eb="11">
      <t>オヨ</t>
    </rPh>
    <rPh sb="12" eb="14">
      <t>セイカツ</t>
    </rPh>
    <rPh sb="14" eb="16">
      <t>キバン</t>
    </rPh>
    <rPh sb="16" eb="18">
      <t>シセツ</t>
    </rPh>
    <rPh sb="18" eb="21">
      <t>タイシンカ</t>
    </rPh>
    <rPh sb="21" eb="22">
      <t>トウ</t>
    </rPh>
    <rPh sb="22" eb="25">
      <t>コウフキン</t>
    </rPh>
    <rPh sb="26" eb="28">
      <t>ガイヨウ</t>
    </rPh>
    <phoneticPr fontId="6"/>
  </si>
  <si>
    <t>３８．</t>
    <phoneticPr fontId="6"/>
  </si>
  <si>
    <t>　　</t>
    <phoneticPr fontId="6"/>
  </si>
  <si>
    <t>R2</t>
    <phoneticPr fontId="6"/>
  </si>
  <si>
    <t>R1</t>
    <phoneticPr fontId="6"/>
  </si>
  <si>
    <t>R3</t>
    <phoneticPr fontId="6"/>
  </si>
  <si>
    <t>R8</t>
    <phoneticPr fontId="6"/>
  </si>
  <si>
    <t>R7</t>
    <phoneticPr fontId="6"/>
  </si>
  <si>
    <t>R10</t>
    <phoneticPr fontId="6"/>
  </si>
  <si>
    <t>R4</t>
    <phoneticPr fontId="6"/>
  </si>
  <si>
    <t>R9</t>
    <phoneticPr fontId="6"/>
  </si>
  <si>
    <t xml:space="preserve">
　水資源保全地域は、長野県豊かな水資源の保全に関する条例（平成25年条例第11号）に基づき、水資源の保全のために必要があると認められる区域として、知事が指定するものです。</t>
    <rPh sb="2" eb="5">
      <t>ミズシゲン</t>
    </rPh>
    <rPh sb="5" eb="7">
      <t>ホゼン</t>
    </rPh>
    <rPh sb="7" eb="9">
      <t>チイキ</t>
    </rPh>
    <rPh sb="11" eb="14">
      <t>ナガノケン</t>
    </rPh>
    <rPh sb="14" eb="15">
      <t>ユタ</t>
    </rPh>
    <rPh sb="17" eb="20">
      <t>ミズシゲン</t>
    </rPh>
    <rPh sb="21" eb="23">
      <t>ホゼン</t>
    </rPh>
    <rPh sb="24" eb="25">
      <t>カン</t>
    </rPh>
    <rPh sb="27" eb="29">
      <t>ジョウレイ</t>
    </rPh>
    <rPh sb="30" eb="32">
      <t>ヘイセイ</t>
    </rPh>
    <rPh sb="34" eb="35">
      <t>ネン</t>
    </rPh>
    <rPh sb="35" eb="37">
      <t>ジョウレイ</t>
    </rPh>
    <rPh sb="37" eb="38">
      <t>ダイ</t>
    </rPh>
    <rPh sb="40" eb="41">
      <t>ゴウ</t>
    </rPh>
    <rPh sb="43" eb="44">
      <t>モト</t>
    </rPh>
    <rPh sb="47" eb="50">
      <t>ミズシゲン</t>
    </rPh>
    <rPh sb="51" eb="53">
      <t>ホゼン</t>
    </rPh>
    <rPh sb="57" eb="59">
      <t>ヒツヨウ</t>
    </rPh>
    <rPh sb="63" eb="64">
      <t>ミト</t>
    </rPh>
    <rPh sb="68" eb="70">
      <t>クイキ</t>
    </rPh>
    <rPh sb="74" eb="76">
      <t>チジ</t>
    </rPh>
    <rPh sb="77" eb="79">
      <t>シテイ</t>
    </rPh>
    <phoneticPr fontId="6"/>
  </si>
  <si>
    <r>
      <t>　</t>
    </r>
    <r>
      <rPr>
        <u/>
        <sz val="9"/>
        <rFont val="ＭＳ Ｐゴシック"/>
        <family val="3"/>
        <charset val="128"/>
      </rPr>
      <t>水資源を保全するための措置等</t>
    </r>
    <r>
      <rPr>
        <sz val="9"/>
        <rFont val="ＭＳ Ｐゴシック"/>
        <family val="3"/>
        <charset val="128"/>
      </rPr>
      <t xml:space="preserve">
　・土地所有者等は、土地（森林以外の土地で、500㎡未満のものを除く。）の売買契約等を締結しようとする３か月前まで
　  に必要事項を知事に届出。
　・知事は関係市町村に意見聴取。
　・知事は届出概要を県のホームページ等で公表するとともに、当該届出事項を公衆の縦覧に供する。
　・知事は、水資源の保全に支障が生ずるおそれがあると認めるときは、必要な助言を行う。
　・知事は、無届者や届出者、届出に係る契約の相手方、土地所有者等に対し、必要な事項の報告を求めるほか、職員に
　  立入調査をさせることができる。
　・報告聴取や立入調査に従わない場合は、勧告、公表。</t>
    </r>
    <rPh sb="1" eb="4">
      <t>ミズシゲン</t>
    </rPh>
    <rPh sb="5" eb="7">
      <t>ホゼン</t>
    </rPh>
    <rPh sb="12" eb="14">
      <t>ソチ</t>
    </rPh>
    <rPh sb="14" eb="15">
      <t>ナド</t>
    </rPh>
    <phoneticPr fontId="6"/>
  </si>
  <si>
    <t>保全地域名</t>
    <rPh sb="0" eb="2">
      <t>ホゼン</t>
    </rPh>
    <rPh sb="2" eb="5">
      <t>チイキメイ</t>
    </rPh>
    <phoneticPr fontId="6"/>
  </si>
  <si>
    <t>　佐久市</t>
    <rPh sb="1" eb="4">
      <t>サクシ</t>
    </rPh>
    <phoneticPr fontId="6"/>
  </si>
  <si>
    <t>協和川獺水資源保全地域</t>
    <rPh sb="4" eb="7">
      <t>ミズシゲン</t>
    </rPh>
    <rPh sb="7" eb="9">
      <t>ホゼン</t>
    </rPh>
    <rPh sb="9" eb="11">
      <t>チイキ</t>
    </rPh>
    <phoneticPr fontId="6"/>
  </si>
  <si>
    <t>協和寺久保水資源保全地域</t>
    <rPh sb="5" eb="8">
      <t>ミズシゲン</t>
    </rPh>
    <rPh sb="8" eb="10">
      <t>ホゼン</t>
    </rPh>
    <rPh sb="10" eb="12">
      <t>チイキ</t>
    </rPh>
    <phoneticPr fontId="6"/>
  </si>
  <si>
    <t>協和合の沢水資源保全地域</t>
    <phoneticPr fontId="6"/>
  </si>
  <si>
    <t>春日湯沢水資源保全地域</t>
    <phoneticPr fontId="6"/>
  </si>
  <si>
    <t>入澤水資源保全地域</t>
    <phoneticPr fontId="6"/>
  </si>
  <si>
    <t>香坂水資源保全地域</t>
    <phoneticPr fontId="6"/>
  </si>
  <si>
    <t>R</t>
    <phoneticPr fontId="6"/>
  </si>
  <si>
    <t>　小海町</t>
    <rPh sb="1" eb="4">
      <t>コウミマチ</t>
    </rPh>
    <phoneticPr fontId="6"/>
  </si>
  <si>
    <t>五箇水資源保全地域</t>
    <rPh sb="2" eb="9">
      <t>ミズシゲンホゼンチイキ</t>
    </rPh>
    <phoneticPr fontId="6"/>
  </si>
  <si>
    <t>　南相木村</t>
    <rPh sb="1" eb="5">
      <t>ミナミアイキムラ</t>
    </rPh>
    <phoneticPr fontId="6"/>
  </si>
  <si>
    <t>栗生水資源保全地域</t>
    <phoneticPr fontId="6"/>
  </si>
  <si>
    <t>立原水資源保全地域</t>
    <phoneticPr fontId="6"/>
  </si>
  <si>
    <t>鳥の向水資源保全地域</t>
    <phoneticPr fontId="6"/>
  </si>
  <si>
    <t>三川水資源保全地域</t>
    <phoneticPr fontId="6"/>
  </si>
  <si>
    <t>　下諏訪町</t>
    <rPh sb="1" eb="5">
      <t>シモスワマチ</t>
    </rPh>
    <phoneticPr fontId="6"/>
  </si>
  <si>
    <t>汁垂三川水資源保全地域</t>
    <phoneticPr fontId="6"/>
  </si>
  <si>
    <t>　駒ヶ根市</t>
    <rPh sb="1" eb="4">
      <t>コマガネ</t>
    </rPh>
    <rPh sb="4" eb="5">
      <t>シ</t>
    </rPh>
    <phoneticPr fontId="6"/>
  </si>
  <si>
    <t>吉瀬水資源保全地域</t>
    <phoneticPr fontId="6"/>
  </si>
  <si>
    <t>大曽倉水資源保全地域</t>
    <phoneticPr fontId="6"/>
  </si>
  <si>
    <t>中山水資源保全地域</t>
    <phoneticPr fontId="6"/>
  </si>
  <si>
    <t>中曽倉水資源保全地域</t>
    <phoneticPr fontId="6"/>
  </si>
  <si>
    <t>上割水資源保全地域</t>
    <phoneticPr fontId="6"/>
  </si>
  <si>
    <t>北割水資源保全地域</t>
    <phoneticPr fontId="6"/>
  </si>
  <si>
    <t>　松本</t>
    <rPh sb="1" eb="3">
      <t>マツモト</t>
    </rPh>
    <phoneticPr fontId="6"/>
  </si>
  <si>
    <t>　筑北村</t>
    <rPh sb="1" eb="2">
      <t>チク</t>
    </rPh>
    <rPh sb="2" eb="3">
      <t>ホク</t>
    </rPh>
    <rPh sb="3" eb="4">
      <t>ムラ</t>
    </rPh>
    <phoneticPr fontId="6"/>
  </si>
  <si>
    <t>栃平水資源保全地域</t>
    <phoneticPr fontId="6"/>
  </si>
  <si>
    <t>6市町村　19地区</t>
    <rPh sb="1" eb="4">
      <t>シチョウソン</t>
    </rPh>
    <rPh sb="7" eb="9">
      <t>チク</t>
    </rPh>
    <phoneticPr fontId="6"/>
  </si>
  <si>
    <t>３８．水道施設整備費補助金及び生活基盤施設耐震化等交付金の概要</t>
    <rPh sb="3" eb="5">
      <t>スイドウ</t>
    </rPh>
    <rPh sb="5" eb="7">
      <t>シセツ</t>
    </rPh>
    <rPh sb="7" eb="10">
      <t>セイビヒ</t>
    </rPh>
    <rPh sb="10" eb="13">
      <t>ホジョキン</t>
    </rPh>
    <rPh sb="13" eb="14">
      <t>オヨ</t>
    </rPh>
    <rPh sb="15" eb="17">
      <t>セイカツ</t>
    </rPh>
    <rPh sb="17" eb="19">
      <t>キバン</t>
    </rPh>
    <rPh sb="19" eb="21">
      <t>シセツ</t>
    </rPh>
    <rPh sb="21" eb="24">
      <t>タイシンカ</t>
    </rPh>
    <rPh sb="24" eb="25">
      <t>トウ</t>
    </rPh>
    <rPh sb="25" eb="28">
      <t>コウフキン</t>
    </rPh>
    <rPh sb="29" eb="31">
      <t>ガイヨウ</t>
    </rPh>
    <phoneticPr fontId="6"/>
  </si>
  <si>
    <t>１／２</t>
    <phoneticPr fontId="6"/>
  </si>
  <si>
    <t>（停電対策）浄水施設等が、自然流下方式による施設運転が不可能であり、運転用の自家発電設備が整備されていないこと</t>
    <phoneticPr fontId="6"/>
  </si>
  <si>
    <t>（浸水災害対策）浄水施設等が、浸水想定区域内に位置し、浸水災害により給水停止のおそれが高いこと</t>
    <phoneticPr fontId="6"/>
  </si>
  <si>
    <t>（浄水施設）2,000戸以上を受け持つ施設であること</t>
    <phoneticPr fontId="6"/>
  </si>
  <si>
    <t>（取水施設）下流の浄水施設が、2,000戸以上を受け持つ施設であり、各種災害対策を実施済み又は実施中であること</t>
    <phoneticPr fontId="6"/>
  </si>
  <si>
    <t>高度浄水施設等の整備が特に必要であると認められる河川等から取水する浄水場等に設置される施設の整備事業</t>
    <phoneticPr fontId="6"/>
  </si>
  <si>
    <t>水道水における異臭味障害等の内容、程度が著しいこと　等</t>
    <phoneticPr fontId="6"/>
  </si>
  <si>
    <t>https://www.mhlw.go.jp/stf/seisakunitsuite/bunya/topics/bukyoku/kenkou/suido/yosan/01c.html</t>
    <phoneticPr fontId="6"/>
  </si>
  <si>
    <t>経営の一元化等を図る場合の遠隔監視システムの整備事業であること　等</t>
    <phoneticPr fontId="6"/>
  </si>
  <si>
    <t>経営の一元化等を図る場合の遠隔監視システムの整備事業であること</t>
    <phoneticPr fontId="6"/>
  </si>
  <si>
    <t>布設後20年以上経過した管路を廃止して新設するもの　等</t>
    <phoneticPr fontId="6"/>
  </si>
  <si>
    <t>石炭鉱業の整理等に伴い鉱業経営者の設置した水道施設を市町村が改良又は更新する事業</t>
    <phoneticPr fontId="6"/>
  </si>
  <si>
    <t>地震対策等地域における事業であること　等</t>
    <rPh sb="0" eb="2">
      <t>ジシン</t>
    </rPh>
    <rPh sb="2" eb="4">
      <t>タイサク</t>
    </rPh>
    <rPh sb="4" eb="5">
      <t>トウ</t>
    </rPh>
    <rPh sb="5" eb="7">
      <t>チイキ</t>
    </rPh>
    <rPh sb="11" eb="13">
      <t>ジギョウ</t>
    </rPh>
    <rPh sb="19" eb="20">
      <t>トウ</t>
    </rPh>
    <phoneticPr fontId="6"/>
  </si>
  <si>
    <t>都市計画法（昭和43年法律第100号）第７条に基づき定められる市街化区域となった給水区域等において行う事業</t>
    <rPh sb="0" eb="2">
      <t>トシ</t>
    </rPh>
    <rPh sb="2" eb="5">
      <t>ケイカクホウ</t>
    </rPh>
    <rPh sb="6" eb="8">
      <t>ショウワ</t>
    </rPh>
    <rPh sb="10" eb="11">
      <t>ネン</t>
    </rPh>
    <rPh sb="11" eb="13">
      <t>ホウリツ</t>
    </rPh>
    <rPh sb="13" eb="14">
      <t>ダイ</t>
    </rPh>
    <rPh sb="17" eb="18">
      <t>ゴウ</t>
    </rPh>
    <rPh sb="19" eb="20">
      <t>ダイ</t>
    </rPh>
    <rPh sb="21" eb="22">
      <t>ジョウ</t>
    </rPh>
    <rPh sb="23" eb="24">
      <t>モト</t>
    </rPh>
    <rPh sb="26" eb="27">
      <t>サダ</t>
    </rPh>
    <rPh sb="31" eb="34">
      <t>シガイカ</t>
    </rPh>
    <rPh sb="34" eb="36">
      <t>クイキ</t>
    </rPh>
    <rPh sb="40" eb="42">
      <t>キュウスイ</t>
    </rPh>
    <rPh sb="42" eb="44">
      <t>クイキ</t>
    </rPh>
    <rPh sb="44" eb="45">
      <t>トウ</t>
    </rPh>
    <rPh sb="49" eb="50">
      <t>オコナ</t>
    </rPh>
    <rPh sb="51" eb="53">
      <t>ジギョウ</t>
    </rPh>
    <phoneticPr fontId="6"/>
  </si>
  <si>
    <t>災害復旧事業の対象となった部分から直近の制水弁までの区間であること　等</t>
    <rPh sb="0" eb="2">
      <t>サイガイ</t>
    </rPh>
    <rPh sb="2" eb="4">
      <t>フッキュウ</t>
    </rPh>
    <rPh sb="4" eb="6">
      <t>ジギョウ</t>
    </rPh>
    <rPh sb="7" eb="9">
      <t>タイショウ</t>
    </rPh>
    <rPh sb="13" eb="15">
      <t>ブブン</t>
    </rPh>
    <rPh sb="17" eb="19">
      <t>チョッキン</t>
    </rPh>
    <rPh sb="20" eb="22">
      <t>セイスイ</t>
    </rPh>
    <rPh sb="22" eb="23">
      <t>ベン</t>
    </rPh>
    <rPh sb="26" eb="28">
      <t>クカン</t>
    </rPh>
    <rPh sb="34" eb="35">
      <t>トウ</t>
    </rPh>
    <phoneticPr fontId="6"/>
  </si>
  <si>
    <t>https://www.mhlw.go.jp/stf/seisakunitsuite/bunya/topics/bukyoku/kenkou/suido/yosan/01g.html</t>
    <phoneticPr fontId="6"/>
  </si>
  <si>
    <t>凡                       例</t>
    <phoneticPr fontId="6"/>
  </si>
  <si>
    <t>１．集録の内容</t>
    <phoneticPr fontId="6"/>
  </si>
  <si>
    <t>（１）対象の水道　　水道用水供給事業、上水道事業、簡易水道事業、専用水道及び小規模水道</t>
    <phoneticPr fontId="6"/>
  </si>
  <si>
    <t>３．水道の区分</t>
    <phoneticPr fontId="6"/>
  </si>
  <si>
    <t>（１）水道用水供給事業　　水道事業者に対してその用水（浄水）を供給する事業</t>
    <phoneticPr fontId="6"/>
  </si>
  <si>
    <t>（２）上水道　　　　　　　　　計画給水人口が５，００１人以上の水道</t>
    <phoneticPr fontId="6"/>
  </si>
  <si>
    <t>（３）簡易水道　　　　　　　 計画給水人口が１０１人以上５，０００人以下の水道</t>
    <phoneticPr fontId="6"/>
  </si>
  <si>
    <t>（４）専用水道</t>
    <phoneticPr fontId="6"/>
  </si>
  <si>
    <r>
      <t>寄宿舎、社宅、療養所等における自家用の水道（居住人口１０１人以上又は一日最大給水量２０m</t>
    </r>
    <r>
      <rPr>
        <vertAlign val="superscript"/>
        <sz val="10"/>
        <rFont val="ＭＳ Ｐゴシック"/>
        <family val="3"/>
        <charset val="128"/>
      </rPr>
      <t>3</t>
    </r>
    <r>
      <rPr>
        <sz val="10"/>
        <rFont val="ＭＳ Ｐゴシック"/>
        <family val="3"/>
        <charset val="128"/>
      </rPr>
      <t>以上）であり、次のいずれかに該当するもの</t>
    </r>
    <phoneticPr fontId="6"/>
  </si>
  <si>
    <t>ア．自己水源の水を供給、又は自己水源と他の水道から供給を受ける水を混合して供給するもの</t>
    <phoneticPr fontId="6"/>
  </si>
  <si>
    <r>
      <t>イ．他の水道から供給を受ける水のみを水源とし、水槽の有効容量の合計が１００m</t>
    </r>
    <r>
      <rPr>
        <vertAlign val="superscript"/>
        <sz val="10"/>
        <rFont val="ＭＳ Ｐゴシック"/>
        <family val="3"/>
        <charset val="128"/>
      </rPr>
      <t>3</t>
    </r>
    <r>
      <rPr>
        <sz val="10"/>
        <rFont val="ＭＳ Ｐゴシック"/>
        <family val="3"/>
        <charset val="128"/>
      </rPr>
      <t>を超えるもの、又は口径２５mm以上の導管の全長が１，５００ｍを超えるもの</t>
    </r>
    <phoneticPr fontId="6"/>
  </si>
  <si>
    <t>（５）簡易専用水道</t>
    <phoneticPr fontId="6"/>
  </si>
  <si>
    <t>（６）準簡易専用水道</t>
    <phoneticPr fontId="6"/>
  </si>
  <si>
    <t>（７）飲料水供給施設         計画給水人口が５０人以上１００人以下の水道</t>
    <phoneticPr fontId="6"/>
  </si>
  <si>
    <t>（８）簡易給水施設            計画給水人口がおおむね２０人以上４９人以下の水道</t>
    <phoneticPr fontId="6"/>
  </si>
  <si>
    <t>４．人口</t>
    <phoneticPr fontId="6"/>
  </si>
  <si>
    <t>行政区域内人口は、長野県が公表している｢毎月人口異動調査｣に基づく市町村別人口とし、これを基礎に給水区域内人口及び現在給水人口を集計した。</t>
    <phoneticPr fontId="6"/>
  </si>
  <si>
    <t>５．給水普及率</t>
    <phoneticPr fontId="6"/>
  </si>
  <si>
    <t>給水普及率　＝　現在給水人口（常時居住）／行政区域内総人口</t>
    <phoneticPr fontId="6"/>
  </si>
  <si>
    <t>（上水道、簡易水道及び自己水源のみの専用水道の給水人口）</t>
    <phoneticPr fontId="6"/>
  </si>
  <si>
    <t>６．給水量</t>
    <phoneticPr fontId="6"/>
  </si>
  <si>
    <t>（１）有効水量</t>
    <phoneticPr fontId="6"/>
  </si>
  <si>
    <t>（２）有収水量</t>
    <phoneticPr fontId="6"/>
  </si>
  <si>
    <t>（３）無収水量</t>
    <phoneticPr fontId="6"/>
  </si>
  <si>
    <t>（４）無効水量</t>
    <phoneticPr fontId="6"/>
  </si>
  <si>
    <t>（５）比率</t>
    <phoneticPr fontId="6"/>
  </si>
  <si>
    <t>ア．有効率　＝　年間有効水量／年間給水量</t>
    <phoneticPr fontId="6"/>
  </si>
  <si>
    <t>イ．有収率　＝　年間有収水量／年間給水量</t>
    <phoneticPr fontId="6"/>
  </si>
  <si>
    <t>ウ．負荷率　＝　一日平均給水量／一日最大給水量</t>
    <phoneticPr fontId="6"/>
  </si>
  <si>
    <t>７．水源の種類</t>
    <phoneticPr fontId="6"/>
  </si>
  <si>
    <t>（１）地表水</t>
    <phoneticPr fontId="6"/>
  </si>
  <si>
    <t>ア．ダム　　　　　ダムから直接取水、又はダムに水源手当を依存し下流で取水</t>
    <phoneticPr fontId="6"/>
  </si>
  <si>
    <t>イ．湖沼　　　　　天然湖等の貯水池から直接取水</t>
    <phoneticPr fontId="6"/>
  </si>
  <si>
    <t>ウ．河川　　　　　ダム及び湖沼以外の河川水</t>
    <phoneticPr fontId="6"/>
  </si>
  <si>
    <t>（２）地下水</t>
    <phoneticPr fontId="6"/>
  </si>
  <si>
    <t>ア．伏流水　　　　河床又はその付近等を潜流する水</t>
    <phoneticPr fontId="6"/>
  </si>
  <si>
    <t>イ．浅井戸　　　　自由水面を有し第一不透水層に達するまでの井戸から取水</t>
    <phoneticPr fontId="6"/>
  </si>
  <si>
    <t>ウ．深井戸　　　　第一不透水層以下の水を集水する井戸から取水</t>
    <phoneticPr fontId="6"/>
  </si>
  <si>
    <t>エ．湧水　　　 　　自然に地表に湧き出た地下水</t>
    <phoneticPr fontId="6"/>
  </si>
  <si>
    <t>（３）受水</t>
    <phoneticPr fontId="6"/>
  </si>
  <si>
    <t>ア．原水受水　　　分水を受けた原水等</t>
    <phoneticPr fontId="6"/>
  </si>
  <si>
    <t>イ．浄水受水　　　水道用水供給事業から、又は分水を受けた浄水</t>
    <phoneticPr fontId="6"/>
  </si>
  <si>
    <t>８．経営分析</t>
    <phoneticPr fontId="6"/>
  </si>
  <si>
    <r>
      <t>（１）有収水量１m</t>
    </r>
    <r>
      <rPr>
        <vertAlign val="superscript"/>
        <sz val="10"/>
        <rFont val="ＭＳ Ｐゴシック"/>
        <family val="3"/>
        <charset val="128"/>
      </rPr>
      <t>3</t>
    </r>
    <r>
      <rPr>
        <sz val="10"/>
        <rFont val="ＭＳ Ｐゴシック"/>
        <family val="3"/>
        <charset val="128"/>
      </rPr>
      <t>当たりの費用</t>
    </r>
    <phoneticPr fontId="6"/>
  </si>
  <si>
    <t>給水原価　＝　（総費用－受託工事費）／年間有収水量</t>
    <phoneticPr fontId="6"/>
  </si>
  <si>
    <t>※</t>
    <phoneticPr fontId="6"/>
  </si>
  <si>
    <r>
      <t>（２）有収水量１m</t>
    </r>
    <r>
      <rPr>
        <vertAlign val="superscript"/>
        <sz val="10"/>
        <rFont val="ＭＳ Ｐゴシック"/>
        <family val="3"/>
        <charset val="128"/>
      </rPr>
      <t>3</t>
    </r>
    <r>
      <rPr>
        <sz val="10"/>
        <rFont val="ＭＳ Ｐゴシック"/>
        <family val="3"/>
        <charset val="128"/>
      </rPr>
      <t>当たりの給水収益</t>
    </r>
    <phoneticPr fontId="6"/>
  </si>
  <si>
    <t>供給単価　＝　給水収益／年間有収水量</t>
    <phoneticPr fontId="6"/>
  </si>
  <si>
    <t>９．管路</t>
    <phoneticPr fontId="6"/>
  </si>
  <si>
    <t>（１）導水管</t>
    <phoneticPr fontId="6"/>
  </si>
  <si>
    <t>取水施設（水源）から浄水場まで水を導く管</t>
    <phoneticPr fontId="6"/>
  </si>
  <si>
    <t>（２）送水管</t>
    <phoneticPr fontId="6"/>
  </si>
  <si>
    <t>浄水場から配水池まで水を送る管</t>
    <phoneticPr fontId="6"/>
  </si>
  <si>
    <t>（３）配水管</t>
    <phoneticPr fontId="6"/>
  </si>
  <si>
    <t>ア．配水本管　　　配水池から下流で直接給水装置（給水管等）を分岐しない管</t>
    <phoneticPr fontId="6"/>
  </si>
  <si>
    <t>イ．配水支管　　　配水池から下流で直接給水装置（給水管等）を分岐する管</t>
    <phoneticPr fontId="6"/>
  </si>
  <si>
    <t>（４）基幹管路</t>
    <phoneticPr fontId="6"/>
  </si>
  <si>
    <t>導水管、送水管及び配水本管</t>
    <phoneticPr fontId="6"/>
  </si>
  <si>
    <t>（５）耐震適合性のある管</t>
    <phoneticPr fontId="6"/>
  </si>
  <si>
    <t>　　 ア</t>
    <phoneticPr fontId="6"/>
  </si>
  <si>
    <t>耐震管</t>
    <phoneticPr fontId="6"/>
  </si>
  <si>
    <t>　　 イ</t>
    <phoneticPr fontId="6"/>
  </si>
  <si>
    <t>「管路の耐震化に関する検討会報告書」において、耐震性能を満たすと評価された管をいう。具体的には上記（５）アの耐震管の他に、Ｋ型継手を有するダクタイル鋳鉄管のうち良い地盤に布設されているもの、また、ＲＲロング継手を有する硬質塩化ビニル管をいう（ただし、地震の被災経験が少なく、十分に耐震性能が検証されていない管種、継手を含んでいる。）。</t>
    <phoneticPr fontId="6"/>
  </si>
  <si>
    <t>（６）耐震型継手</t>
    <phoneticPr fontId="6"/>
  </si>
  <si>
    <t>ア．ダクタイル鋳鉄管〔離脱防止機構付き継手（Ｓ・ＳⅡ・ＮＳ・ＵＳ・ＵＦ・ＫＦ・ＰⅡ形等）〕</t>
    <phoneticPr fontId="6"/>
  </si>
  <si>
    <t>イ．鋼管〔溶接継手〕</t>
    <phoneticPr fontId="6"/>
  </si>
  <si>
    <t>ウ．水道配水用ポリエチレン管〔熱融着継手〕</t>
    <phoneticPr fontId="6"/>
  </si>
  <si>
    <t>ア</t>
    <phoneticPr fontId="6"/>
  </si>
  <si>
    <t>イ</t>
    <phoneticPr fontId="6"/>
  </si>
  <si>
    <t>ランクA</t>
    <phoneticPr fontId="6"/>
  </si>
  <si>
    <t>ランクB</t>
    <phoneticPr fontId="6"/>
  </si>
  <si>
    <r>
      <t>年間分水量（千m</t>
    </r>
    <r>
      <rPr>
        <vertAlign val="superscript"/>
        <sz val="9"/>
        <rFont val="ＭＳ Ｐゴシック"/>
        <family val="3"/>
        <charset val="128"/>
      </rPr>
      <t>3</t>
    </r>
    <r>
      <rPr>
        <sz val="9"/>
        <rFont val="ＭＳ Ｐゴシック"/>
        <family val="3"/>
        <charset val="128"/>
      </rPr>
      <t>）</t>
    </r>
    <phoneticPr fontId="6"/>
  </si>
  <si>
    <t>安曇野市</t>
    <phoneticPr fontId="6"/>
  </si>
  <si>
    <r>
      <t>年間取水量（m</t>
    </r>
    <r>
      <rPr>
        <vertAlign val="superscript"/>
        <sz val="9"/>
        <rFont val="ＭＳ Ｐゴシック"/>
        <family val="3"/>
        <charset val="128"/>
      </rPr>
      <t>3</t>
    </r>
    <r>
      <rPr>
        <sz val="9"/>
        <rFont val="ＭＳ Ｐゴシック"/>
        <family val="3"/>
        <charset val="128"/>
      </rPr>
      <t>）</t>
    </r>
    <phoneticPr fontId="6"/>
  </si>
  <si>
    <r>
      <t>年間浄水量（m</t>
    </r>
    <r>
      <rPr>
        <vertAlign val="superscript"/>
        <sz val="9"/>
        <rFont val="ＭＳ Ｐゴシック"/>
        <family val="3"/>
        <charset val="128"/>
      </rPr>
      <t>3</t>
    </r>
    <r>
      <rPr>
        <sz val="9"/>
        <rFont val="ＭＳ Ｐゴシック"/>
        <family val="3"/>
        <charset val="128"/>
      </rPr>
      <t>）</t>
    </r>
    <phoneticPr fontId="6"/>
  </si>
  <si>
    <t>・簡易専用水道とは市町村等の水道事業者から供給される水だけを水源とする飲料水の供給施設で、貯水槽の有効容量が１０m3を超えるものをいいます。
・簡易専用水道の設置者は、毎年１回以上、厚生労働大臣の登録を受けた機関等に管理に関する（水質検査、清掃状況等）検査を受けなければなりません。
・ 「地域の自主性及び自立性を高めるための改革の推進を図るための関係法律の整備に関する法律（第２次一括法）」により水道法の一部が改正され、平成25年度から、簡易専用水道の設置者に対する指導監督は、市部の施設は市が、町村部は県がそれぞれ行っています。</t>
    <rPh sb="1" eb="3">
      <t>カンイ</t>
    </rPh>
    <rPh sb="3" eb="5">
      <t>センヨウ</t>
    </rPh>
    <rPh sb="5" eb="7">
      <t>スイドウ</t>
    </rPh>
    <rPh sb="9" eb="12">
      <t>シチョウソン</t>
    </rPh>
    <rPh sb="12" eb="13">
      <t>トウ</t>
    </rPh>
    <rPh sb="14" eb="16">
      <t>スイドウ</t>
    </rPh>
    <rPh sb="16" eb="19">
      <t>ジギョウシャ</t>
    </rPh>
    <rPh sb="21" eb="23">
      <t>キョウキュウ</t>
    </rPh>
    <rPh sb="26" eb="27">
      <t>ミズ</t>
    </rPh>
    <rPh sb="30" eb="32">
      <t>スイゲン</t>
    </rPh>
    <rPh sb="35" eb="38">
      <t>インリョウスイ</t>
    </rPh>
    <rPh sb="39" eb="41">
      <t>キョウキュウ</t>
    </rPh>
    <rPh sb="41" eb="43">
      <t>シセツ</t>
    </rPh>
    <rPh sb="45" eb="48">
      <t>チョスイソウ</t>
    </rPh>
    <rPh sb="49" eb="51">
      <t>ユウコウ</t>
    </rPh>
    <rPh sb="51" eb="53">
      <t>ヨウリョウ</t>
    </rPh>
    <rPh sb="59" eb="60">
      <t>コ</t>
    </rPh>
    <rPh sb="72" eb="74">
      <t>カンイ</t>
    </rPh>
    <rPh sb="74" eb="76">
      <t>センヨウ</t>
    </rPh>
    <rPh sb="76" eb="78">
      <t>スイドウ</t>
    </rPh>
    <rPh sb="79" eb="82">
      <t>セッチシャ</t>
    </rPh>
    <rPh sb="84" eb="86">
      <t>マイトシ</t>
    </rPh>
    <rPh sb="87" eb="90">
      <t>カイイジョウ</t>
    </rPh>
    <rPh sb="91" eb="93">
      <t>コウセイ</t>
    </rPh>
    <rPh sb="93" eb="95">
      <t>ロウドウ</t>
    </rPh>
    <rPh sb="95" eb="97">
      <t>ダイジン</t>
    </rPh>
    <rPh sb="98" eb="100">
      <t>トウロク</t>
    </rPh>
    <rPh sb="101" eb="102">
      <t>ウ</t>
    </rPh>
    <rPh sb="104" eb="106">
      <t>キカン</t>
    </rPh>
    <rPh sb="106" eb="107">
      <t>トウ</t>
    </rPh>
    <rPh sb="108" eb="110">
      <t>カンリ</t>
    </rPh>
    <rPh sb="111" eb="112">
      <t>カン</t>
    </rPh>
    <rPh sb="126" eb="128">
      <t>ケンサ</t>
    </rPh>
    <rPh sb="129" eb="130">
      <t>ウ</t>
    </rPh>
    <rPh sb="191" eb="193">
      <t>イッカツ</t>
    </rPh>
    <phoneticPr fontId="6"/>
  </si>
  <si>
    <t>本資料は、厚生労働省による令和２年度水道統計調査の結果に、他調査の結果を部分的に補完して取りまとめたものである。また、国への調査報告後に事業者から修正連絡等があった場合には、その内容も反映している。</t>
    <rPh sb="13" eb="15">
      <t>レイワ</t>
    </rPh>
    <rPh sb="59" eb="60">
      <t>クニ</t>
    </rPh>
    <rPh sb="62" eb="64">
      <t>チョウサ</t>
    </rPh>
    <rPh sb="64" eb="66">
      <t>ホウコク</t>
    </rPh>
    <rPh sb="66" eb="67">
      <t>アト</t>
    </rPh>
    <rPh sb="68" eb="71">
      <t>ジギョウシャ</t>
    </rPh>
    <rPh sb="73" eb="75">
      <t>シュウセイ</t>
    </rPh>
    <rPh sb="75" eb="77">
      <t>レンラク</t>
    </rPh>
    <rPh sb="77" eb="78">
      <t>ナド</t>
    </rPh>
    <rPh sb="82" eb="84">
      <t>バアイ</t>
    </rPh>
    <rPh sb="89" eb="91">
      <t>ナイヨウ</t>
    </rPh>
    <rPh sb="92" eb="94">
      <t>ハンエイ</t>
    </rPh>
    <phoneticPr fontId="6"/>
  </si>
  <si>
    <t>２．令和２年度水道統計調査の対象</t>
    <rPh sb="2" eb="4">
      <t>レイワ</t>
    </rPh>
    <phoneticPr fontId="6"/>
  </si>
  <si>
    <t>（２）対象の期間　　令和２年４月１日から令和３年３月31日まで（又は令和３年３月31日時点）</t>
    <rPh sb="10" eb="12">
      <t>レイワ</t>
    </rPh>
    <rPh sb="13" eb="14">
      <t>ネン</t>
    </rPh>
    <rPh sb="20" eb="22">
      <t>レイワ</t>
    </rPh>
    <rPh sb="34" eb="36">
      <t>レイワ</t>
    </rPh>
    <phoneticPr fontId="6"/>
  </si>
  <si>
    <t>（１）長野県の水道（令和２年度…令和２年４月１日～令和３年３月31日）</t>
    <rPh sb="3" eb="6">
      <t>ナガノケン</t>
    </rPh>
    <rPh sb="7" eb="9">
      <t>スイドウ</t>
    </rPh>
    <rPh sb="10" eb="12">
      <t>レイワ</t>
    </rPh>
    <rPh sb="13" eb="15">
      <t>ネンド</t>
    </rPh>
    <rPh sb="16" eb="18">
      <t>レイワ</t>
    </rPh>
    <rPh sb="19" eb="20">
      <t>ネン</t>
    </rPh>
    <rPh sb="21" eb="22">
      <t>ガツ</t>
    </rPh>
    <rPh sb="23" eb="24">
      <t>ニチ</t>
    </rPh>
    <rPh sb="25" eb="27">
      <t>レイワ</t>
    </rPh>
    <rPh sb="28" eb="29">
      <t>ネン</t>
    </rPh>
    <rPh sb="30" eb="31">
      <t>ガツ</t>
    </rPh>
    <rPh sb="33" eb="34">
      <t>ニチ</t>
    </rPh>
    <phoneticPr fontId="6"/>
  </si>
  <si>
    <t>県内給水人口2,002,610／県内総人口2,022,222</t>
    <rPh sb="2" eb="4">
      <t>キュウスイ</t>
    </rPh>
    <rPh sb="4" eb="6">
      <t>ジンコウ</t>
    </rPh>
    <rPh sb="16" eb="18">
      <t>ケンナイ</t>
    </rPh>
    <rPh sb="18" eb="21">
      <t>ソウジンコウ</t>
    </rPh>
    <phoneticPr fontId="6"/>
  </si>
  <si>
    <t>（２）全国の水道（令和元年度…平成31年4月1日～令和２年3月31日）</t>
    <rPh sb="3" eb="5">
      <t>ゼンコク</t>
    </rPh>
    <rPh sb="6" eb="8">
      <t>スイドウ</t>
    </rPh>
    <rPh sb="9" eb="11">
      <t>レイワ</t>
    </rPh>
    <rPh sb="11" eb="13">
      <t>ガンネン</t>
    </rPh>
    <rPh sb="13" eb="14">
      <t>ド</t>
    </rPh>
    <rPh sb="14" eb="16">
      <t>ヘイネンド</t>
    </rPh>
    <rPh sb="15" eb="17">
      <t>ヘイセイ</t>
    </rPh>
    <rPh sb="19" eb="20">
      <t>ネン</t>
    </rPh>
    <rPh sb="21" eb="22">
      <t>ガツ</t>
    </rPh>
    <rPh sb="23" eb="24">
      <t>ニチ</t>
    </rPh>
    <rPh sb="25" eb="27">
      <t>レイワ</t>
    </rPh>
    <rPh sb="28" eb="29">
      <t>ネン</t>
    </rPh>
    <rPh sb="29" eb="30">
      <t>ヘイネン</t>
    </rPh>
    <rPh sb="30" eb="31">
      <t>ガツ</t>
    </rPh>
    <rPh sb="33" eb="34">
      <t>ニチ</t>
    </rPh>
    <phoneticPr fontId="6"/>
  </si>
  <si>
    <t>給水人口123,772,874／総人口126,177,644</t>
    <rPh sb="0" eb="2">
      <t>キュウスイ</t>
    </rPh>
    <rPh sb="2" eb="4">
      <t>ジンコウ</t>
    </rPh>
    <rPh sb="16" eb="17">
      <t>ソウ</t>
    </rPh>
    <rPh sb="17" eb="19">
      <t>ジンコウ</t>
    </rPh>
    <phoneticPr fontId="6"/>
  </si>
  <si>
    <t>＊6　厚生労働省医薬・生活衛生局水道課の「令和元年度水道統計」および「令和元年度全国簡易水道統計」による。</t>
    <rPh sb="3" eb="5">
      <t>コウセイ</t>
    </rPh>
    <rPh sb="8" eb="10">
      <t>イヤク</t>
    </rPh>
    <rPh sb="11" eb="13">
      <t>セイカツ</t>
    </rPh>
    <rPh sb="13" eb="15">
      <t>エイセイ</t>
    </rPh>
    <rPh sb="21" eb="23">
      <t>レイワ</t>
    </rPh>
    <rPh sb="23" eb="24">
      <t>ガン</t>
    </rPh>
    <rPh sb="35" eb="37">
      <t>レイワ</t>
    </rPh>
    <rPh sb="37" eb="39">
      <t>ガンネン</t>
    </rPh>
    <rPh sb="39" eb="40">
      <t>ド</t>
    </rPh>
    <rPh sb="40" eb="42">
      <t>ゼンコク</t>
    </rPh>
    <rPh sb="42" eb="44">
      <t>カンイ</t>
    </rPh>
    <rPh sb="44" eb="46">
      <t>スイドウ</t>
    </rPh>
    <rPh sb="46" eb="48">
      <t>トウケイ</t>
    </rPh>
    <phoneticPr fontId="6"/>
  </si>
  <si>
    <t>２．グラフで表す水道の状況（令和２年度）</t>
    <rPh sb="6" eb="7">
      <t>アラワ</t>
    </rPh>
    <rPh sb="8" eb="10">
      <t>スイドウ</t>
    </rPh>
    <rPh sb="11" eb="13">
      <t>ジョウキョウ</t>
    </rPh>
    <rPh sb="14" eb="16">
      <t>レイワ</t>
    </rPh>
    <rPh sb="17" eb="19">
      <t>ネンド</t>
    </rPh>
    <phoneticPr fontId="6"/>
  </si>
  <si>
    <t>令和元年度</t>
    <rPh sb="0" eb="2">
      <t>レイワ</t>
    </rPh>
    <rPh sb="2" eb="3">
      <t>ガン</t>
    </rPh>
    <rPh sb="3" eb="4">
      <t>ネン</t>
    </rPh>
    <rPh sb="4" eb="5">
      <t>ド</t>
    </rPh>
    <phoneticPr fontId="34"/>
  </si>
  <si>
    <t>31</t>
  </si>
  <si>
    <t>03</t>
  </si>
  <si>
    <t>27</t>
  </si>
  <si>
    <t>21</t>
  </si>
  <si>
    <t>23</t>
  </si>
  <si>
    <t>18</t>
  </si>
  <si>
    <t>53</t>
  </si>
  <si>
    <t>05</t>
  </si>
  <si>
    <t>30</t>
  </si>
  <si>
    <t>22</t>
  </si>
  <si>
    <t>28</t>
  </si>
  <si>
    <t>29</t>
  </si>
  <si>
    <t>25</t>
  </si>
  <si>
    <t>17</t>
  </si>
  <si>
    <t>R9</t>
  </si>
  <si>
    <t>02</t>
  </si>
  <si>
    <t>06</t>
  </si>
  <si>
    <t>24</t>
  </si>
  <si>
    <t>04</t>
  </si>
  <si>
    <t>01</t>
  </si>
  <si>
    <t>26</t>
  </si>
  <si>
    <t>58</t>
  </si>
  <si>
    <t>63</t>
  </si>
  <si>
    <t>07</t>
  </si>
  <si>
    <t>20</t>
  </si>
  <si>
    <t>01</t>
    <phoneticPr fontId="44"/>
  </si>
  <si>
    <t>08</t>
  </si>
  <si>
    <t>09</t>
  </si>
  <si>
    <r>
      <t>家庭用10m</t>
    </r>
    <r>
      <rPr>
        <vertAlign val="superscript"/>
        <sz val="6"/>
        <rFont val="ＭＳ Ｐゴシック"/>
        <family val="3"/>
        <charset val="128"/>
      </rPr>
      <t xml:space="preserve">3
</t>
    </r>
    <r>
      <rPr>
        <sz val="6"/>
        <rFont val="ＭＳ Ｐゴシック"/>
        <family val="3"/>
        <charset val="128"/>
      </rPr>
      <t>料金/月（円）
(税込み）</t>
    </r>
    <rPh sb="0" eb="3">
      <t>カテイヨウ</t>
    </rPh>
    <rPh sb="8" eb="10">
      <t>リョウキン</t>
    </rPh>
    <rPh sb="11" eb="12">
      <t>ツキ</t>
    </rPh>
    <rPh sb="13" eb="14">
      <t>エン</t>
    </rPh>
    <rPh sb="17" eb="19">
      <t>ゼイコ</t>
    </rPh>
    <phoneticPr fontId="6"/>
  </si>
  <si>
    <t>定額</t>
    <rPh sb="0" eb="2">
      <t>テイガク</t>
    </rPh>
    <phoneticPr fontId="44"/>
  </si>
  <si>
    <t>単一</t>
    <rPh sb="0" eb="2">
      <t>タンイツ</t>
    </rPh>
    <phoneticPr fontId="44"/>
  </si>
  <si>
    <t>口径別</t>
    <rPh sb="0" eb="3">
      <t>コウケイベツ</t>
    </rPh>
    <phoneticPr fontId="44"/>
  </si>
  <si>
    <t>用途別</t>
    <rPh sb="0" eb="3">
      <t>ヨウトベツ</t>
    </rPh>
    <phoneticPr fontId="44"/>
  </si>
  <si>
    <t>その他</t>
    <rPh sb="2" eb="3">
      <t>タ</t>
    </rPh>
    <phoneticPr fontId="44"/>
  </si>
  <si>
    <t>原水種別記号</t>
    <rPh sb="0" eb="2">
      <t>ゲンスイ</t>
    </rPh>
    <rPh sb="2" eb="4">
      <t>シュベツ</t>
    </rPh>
    <rPh sb="4" eb="6">
      <t>キゴウ</t>
    </rPh>
    <phoneticPr fontId="6"/>
  </si>
  <si>
    <t>浄水施設の種別</t>
    <rPh sb="0" eb="2">
      <t>ジョウスイ</t>
    </rPh>
    <rPh sb="2" eb="4">
      <t>シセツ</t>
    </rPh>
    <rPh sb="5" eb="7">
      <t>シュベツ</t>
    </rPh>
    <phoneticPr fontId="6"/>
  </si>
  <si>
    <t>望月少年自然の家（長野県）</t>
    <rPh sb="0" eb="2">
      <t>モチヅキ</t>
    </rPh>
    <rPh sb="2" eb="4">
      <t>ショウネン</t>
    </rPh>
    <rPh sb="4" eb="6">
      <t>シゼン</t>
    </rPh>
    <rPh sb="7" eb="8">
      <t>イエ</t>
    </rPh>
    <rPh sb="9" eb="11">
      <t>ナガノ</t>
    </rPh>
    <rPh sb="11" eb="12">
      <t>ケン</t>
    </rPh>
    <phoneticPr fontId="1"/>
  </si>
  <si>
    <t>深井戸</t>
    <rPh sb="0" eb="3">
      <t>フカイド</t>
    </rPh>
    <phoneticPr fontId="6"/>
  </si>
  <si>
    <t>八千穂高原（佐久穂町）</t>
    <rPh sb="0" eb="3">
      <t>ヤチホ</t>
    </rPh>
    <rPh sb="3" eb="5">
      <t>コウゲン</t>
    </rPh>
    <rPh sb="6" eb="10">
      <t>サクホマチ</t>
    </rPh>
    <phoneticPr fontId="1"/>
  </si>
  <si>
    <t>伏流水</t>
    <rPh sb="0" eb="3">
      <t>フクリュウスイ</t>
    </rPh>
    <phoneticPr fontId="6"/>
  </si>
  <si>
    <t>星野リゾート</t>
    <rPh sb="0" eb="2">
      <t>ホシノ</t>
    </rPh>
    <phoneticPr fontId="1"/>
  </si>
  <si>
    <t>レイクニュータウン</t>
    <phoneticPr fontId="1"/>
  </si>
  <si>
    <t>表流水
深井戸</t>
    <rPh sb="0" eb="1">
      <t>ヒョウ</t>
    </rPh>
    <rPh sb="1" eb="2">
      <t>リュウ</t>
    </rPh>
    <rPh sb="2" eb="3">
      <t>スイ</t>
    </rPh>
    <rPh sb="4" eb="7">
      <t>フカイド</t>
    </rPh>
    <phoneticPr fontId="6"/>
  </si>
  <si>
    <t>せせらぎの森</t>
    <rPh sb="5" eb="6">
      <t>モリ</t>
    </rPh>
    <phoneticPr fontId="1"/>
  </si>
  <si>
    <t>三笠パーク</t>
    <rPh sb="0" eb="2">
      <t>ミカサ</t>
    </rPh>
    <phoneticPr fontId="1"/>
  </si>
  <si>
    <t>泉ヶ丘別荘管理事務所</t>
    <rPh sb="0" eb="1">
      <t>イズミ</t>
    </rPh>
    <rPh sb="2" eb="3">
      <t>オカ</t>
    </rPh>
    <rPh sb="3" eb="5">
      <t>ベッソウ</t>
    </rPh>
    <rPh sb="5" eb="7">
      <t>カンリ</t>
    </rPh>
    <rPh sb="7" eb="9">
      <t>ジム</t>
    </rPh>
    <rPh sb="9" eb="10">
      <t>ショ</t>
    </rPh>
    <phoneticPr fontId="1"/>
  </si>
  <si>
    <t>軽井沢休暇村別荘地</t>
    <rPh sb="0" eb="3">
      <t>カルイザワ</t>
    </rPh>
    <rPh sb="3" eb="5">
      <t>キュウカ</t>
    </rPh>
    <rPh sb="5" eb="6">
      <t>ムラ</t>
    </rPh>
    <rPh sb="6" eb="8">
      <t>ベッソウ</t>
    </rPh>
    <rPh sb="8" eb="9">
      <t>チ</t>
    </rPh>
    <phoneticPr fontId="1"/>
  </si>
  <si>
    <t>三笠別荘分譲地</t>
    <rPh sb="0" eb="2">
      <t>ミカサ</t>
    </rPh>
    <rPh sb="2" eb="4">
      <t>ベッソウ</t>
    </rPh>
    <rPh sb="4" eb="7">
      <t>ブンジョウチ</t>
    </rPh>
    <phoneticPr fontId="1"/>
  </si>
  <si>
    <t>受水</t>
    <rPh sb="0" eb="2">
      <t>ジュスイ</t>
    </rPh>
    <phoneticPr fontId="6"/>
  </si>
  <si>
    <t>㈱プリンスホテル矢ケ崎</t>
    <rPh sb="8" eb="11">
      <t>ヤガサキ</t>
    </rPh>
    <phoneticPr fontId="1"/>
  </si>
  <si>
    <t>湧水
深井戸</t>
    <rPh sb="0" eb="2">
      <t>ユウスイ</t>
    </rPh>
    <rPh sb="3" eb="6">
      <t>フカイド</t>
    </rPh>
    <phoneticPr fontId="6"/>
  </si>
  <si>
    <t>2,3,4</t>
  </si>
  <si>
    <t>ふれあいの郷</t>
    <rPh sb="5" eb="6">
      <t>サト</t>
    </rPh>
    <phoneticPr fontId="1"/>
  </si>
  <si>
    <t>湧水</t>
    <rPh sb="0" eb="2">
      <t>ユウスイ</t>
    </rPh>
    <phoneticPr fontId="26"/>
  </si>
  <si>
    <t>エクシブ軽井沢</t>
    <rPh sb="4" eb="7">
      <t>カルイザワ</t>
    </rPh>
    <phoneticPr fontId="1"/>
  </si>
  <si>
    <t>リベライン軽井沢</t>
    <rPh sb="5" eb="8">
      <t>カルイザワ</t>
    </rPh>
    <phoneticPr fontId="1"/>
  </si>
  <si>
    <t>ベルジューレ軽井沢</t>
    <rPh sb="6" eb="9">
      <t>カルイザワ</t>
    </rPh>
    <phoneticPr fontId="1"/>
  </si>
  <si>
    <t>軽井沢町</t>
    <rPh sb="0" eb="3">
      <t>カルイザワ</t>
    </rPh>
    <rPh sb="3" eb="4">
      <t>マチ</t>
    </rPh>
    <phoneticPr fontId="1"/>
  </si>
  <si>
    <t>リゾートトラスト(株)森泉郷別荘地</t>
    <rPh sb="8" eb="11">
      <t>カブ</t>
    </rPh>
    <rPh sb="11" eb="13">
      <t>モリイズミ</t>
    </rPh>
    <rPh sb="13" eb="14">
      <t>キョウ</t>
    </rPh>
    <rPh sb="14" eb="17">
      <t>ベッソウチ</t>
    </rPh>
    <phoneticPr fontId="1"/>
  </si>
  <si>
    <t>表流水</t>
    <rPh sb="0" eb="1">
      <t>ヒョウ</t>
    </rPh>
    <rPh sb="1" eb="3">
      <t>リュウスイ</t>
    </rPh>
    <phoneticPr fontId="6"/>
  </si>
  <si>
    <t>2・8</t>
  </si>
  <si>
    <t>千曲荘病院</t>
    <rPh sb="0" eb="2">
      <t>チクマ</t>
    </rPh>
    <rPh sb="2" eb="3">
      <t>ソウ</t>
    </rPh>
    <rPh sb="3" eb="5">
      <t>ビョウイン</t>
    </rPh>
    <phoneticPr fontId="1"/>
  </si>
  <si>
    <t>深井戸</t>
    <rPh sb="0" eb="3">
      <t>フカイド</t>
    </rPh>
    <phoneticPr fontId="26"/>
  </si>
  <si>
    <t>三才山病院</t>
    <rPh sb="0" eb="2">
      <t>サンサイ</t>
    </rPh>
    <rPh sb="2" eb="3">
      <t>ヤマ</t>
    </rPh>
    <rPh sb="3" eb="5">
      <t>ビョウイン</t>
    </rPh>
    <phoneticPr fontId="1"/>
  </si>
  <si>
    <t>医療法人研成会諏訪湖畔病院・白寿荘</t>
    <rPh sb="0" eb="2">
      <t>イリョウ</t>
    </rPh>
    <rPh sb="2" eb="4">
      <t>ホウジン</t>
    </rPh>
    <rPh sb="4" eb="5">
      <t>ケン</t>
    </rPh>
    <rPh sb="5" eb="6">
      <t>セイ</t>
    </rPh>
    <rPh sb="6" eb="7">
      <t>カイ</t>
    </rPh>
    <rPh sb="7" eb="9">
      <t>スワ</t>
    </rPh>
    <rPh sb="9" eb="10">
      <t>コ</t>
    </rPh>
    <rPh sb="10" eb="11">
      <t>ハン</t>
    </rPh>
    <rPh sb="11" eb="13">
      <t>ビョウイン</t>
    </rPh>
    <rPh sb="14" eb="15">
      <t>ハク</t>
    </rPh>
    <rPh sb="15" eb="16">
      <t>ジュ</t>
    </rPh>
    <rPh sb="16" eb="17">
      <t>ソウ</t>
    </rPh>
    <phoneticPr fontId="1"/>
  </si>
  <si>
    <t>㈱北八ヶ岳リゾート蓼科高原</t>
    <rPh sb="1" eb="2">
      <t>キタ</t>
    </rPh>
    <rPh sb="2" eb="5">
      <t>ヤツガタケ</t>
    </rPh>
    <rPh sb="9" eb="11">
      <t>タテシナ</t>
    </rPh>
    <rPh sb="11" eb="13">
      <t>コウゲン</t>
    </rPh>
    <phoneticPr fontId="1"/>
  </si>
  <si>
    <t>日本電産サンキョー（株）</t>
    <rPh sb="0" eb="2">
      <t>ニッポン</t>
    </rPh>
    <rPh sb="2" eb="4">
      <t>デンサン</t>
    </rPh>
    <rPh sb="9" eb="12">
      <t>カブ</t>
    </rPh>
    <phoneticPr fontId="1"/>
  </si>
  <si>
    <t>（医）登誠会・諏訪マタニティクリニック</t>
    <rPh sb="1" eb="2">
      <t>イ</t>
    </rPh>
    <rPh sb="3" eb="4">
      <t>ノボ</t>
    </rPh>
    <rPh sb="4" eb="5">
      <t>マコト</t>
    </rPh>
    <rPh sb="5" eb="6">
      <t>カイ</t>
    </rPh>
    <rPh sb="7" eb="9">
      <t>スワ</t>
    </rPh>
    <phoneticPr fontId="1"/>
  </si>
  <si>
    <t>伊那中央病院</t>
    <rPh sb="0" eb="2">
      <t>イナ</t>
    </rPh>
    <rPh sb="2" eb="4">
      <t>チュウオウ</t>
    </rPh>
    <rPh sb="4" eb="6">
      <t>ビョウイン</t>
    </rPh>
    <phoneticPr fontId="1"/>
  </si>
  <si>
    <t>深井戸
受水</t>
    <rPh sb="0" eb="3">
      <t>フカイド</t>
    </rPh>
    <rPh sb="4" eb="6">
      <t>ジュスイ</t>
    </rPh>
    <phoneticPr fontId="6"/>
  </si>
  <si>
    <t>みぶの里</t>
    <rPh sb="3" eb="4">
      <t>サト</t>
    </rPh>
    <phoneticPr fontId="1"/>
  </si>
  <si>
    <t>伊那神経科病院</t>
    <rPh sb="0" eb="2">
      <t>イナ</t>
    </rPh>
    <rPh sb="2" eb="5">
      <t>シンケイカ</t>
    </rPh>
    <rPh sb="5" eb="7">
      <t>ビョウイン</t>
    </rPh>
    <phoneticPr fontId="1"/>
  </si>
  <si>
    <t>伏流水
受水</t>
    <rPh sb="0" eb="3">
      <t>フクリュウスイ</t>
    </rPh>
    <rPh sb="4" eb="6">
      <t>ジュスイ</t>
    </rPh>
    <phoneticPr fontId="6"/>
  </si>
  <si>
    <t>駒ヶ根青年海外協力隊訓練所</t>
    <rPh sb="0" eb="3">
      <t>コマガネ</t>
    </rPh>
    <rPh sb="3" eb="5">
      <t>セイネン</t>
    </rPh>
    <rPh sb="5" eb="7">
      <t>カイガイ</t>
    </rPh>
    <rPh sb="7" eb="10">
      <t>キョウリョクタイ</t>
    </rPh>
    <rPh sb="10" eb="12">
      <t>クンレン</t>
    </rPh>
    <rPh sb="12" eb="13">
      <t>ジョ</t>
    </rPh>
    <phoneticPr fontId="1"/>
  </si>
  <si>
    <t>ベルシャイン駒ヶ根店</t>
    <rPh sb="6" eb="10">
      <t>コマガネテン</t>
    </rPh>
    <phoneticPr fontId="1"/>
  </si>
  <si>
    <t>（株）大同ライフサービス</t>
    <rPh sb="1" eb="2">
      <t>カブ</t>
    </rPh>
    <rPh sb="3" eb="5">
      <t>ダイドウ</t>
    </rPh>
    <phoneticPr fontId="1"/>
  </si>
  <si>
    <t>国立大学法人信州大学　</t>
    <rPh sb="0" eb="2">
      <t>コクリツ</t>
    </rPh>
    <rPh sb="2" eb="4">
      <t>ダイガク</t>
    </rPh>
    <rPh sb="4" eb="6">
      <t>ホウジン</t>
    </rPh>
    <rPh sb="6" eb="8">
      <t>シンシュウ</t>
    </rPh>
    <rPh sb="8" eb="10">
      <t>ダイガク</t>
    </rPh>
    <phoneticPr fontId="1"/>
  </si>
  <si>
    <t>3,8</t>
  </si>
  <si>
    <t>藤森病院井戸</t>
    <rPh sb="0" eb="2">
      <t>フジモリ</t>
    </rPh>
    <rPh sb="2" eb="4">
      <t>ビョウイン</t>
    </rPh>
    <rPh sb="4" eb="6">
      <t>イド</t>
    </rPh>
    <phoneticPr fontId="1"/>
  </si>
  <si>
    <t>東日本旅客鉄道㈱松本構内井水</t>
    <rPh sb="0" eb="1">
      <t>ヒガシ</t>
    </rPh>
    <rPh sb="1" eb="3">
      <t>ニホン</t>
    </rPh>
    <rPh sb="3" eb="5">
      <t>リョカク</t>
    </rPh>
    <rPh sb="5" eb="7">
      <t>テツドウ</t>
    </rPh>
    <rPh sb="8" eb="10">
      <t>マツモト</t>
    </rPh>
    <rPh sb="10" eb="12">
      <t>コウナイ</t>
    </rPh>
    <rPh sb="12" eb="13">
      <t>イ</t>
    </rPh>
    <rPh sb="13" eb="14">
      <t>スイ</t>
    </rPh>
    <phoneticPr fontId="1"/>
  </si>
  <si>
    <t>王子マテリア㈱松本工場　</t>
    <rPh sb="0" eb="2">
      <t>オウジ</t>
    </rPh>
    <rPh sb="7" eb="11">
      <t>マツモトコウジョウ</t>
    </rPh>
    <phoneticPr fontId="1"/>
  </si>
  <si>
    <t>社会医療法人財団　慈泉会　相澤病院専用水道</t>
    <phoneticPr fontId="6"/>
  </si>
  <si>
    <t>除マンガン
消毒</t>
    <rPh sb="0" eb="1">
      <t>ジョ</t>
    </rPh>
    <rPh sb="6" eb="8">
      <t>ショウドク</t>
    </rPh>
    <phoneticPr fontId="6"/>
  </si>
  <si>
    <t>陸上自衛隊松本駐屯地</t>
    <rPh sb="0" eb="2">
      <t>リクジョウ</t>
    </rPh>
    <rPh sb="2" eb="5">
      <t>ジエイタイ</t>
    </rPh>
    <rPh sb="5" eb="7">
      <t>マツモト</t>
    </rPh>
    <rPh sb="7" eb="10">
      <t>チュウトンチ</t>
    </rPh>
    <phoneticPr fontId="1"/>
  </si>
  <si>
    <t>東洋紡績（株）豊科工場</t>
    <rPh sb="0" eb="2">
      <t>トウヨウ</t>
    </rPh>
    <rPh sb="2" eb="4">
      <t>ボウセキ</t>
    </rPh>
    <rPh sb="4" eb="7">
      <t>カブ</t>
    </rPh>
    <rPh sb="7" eb="9">
      <t>トヨシナ</t>
    </rPh>
    <rPh sb="9" eb="11">
      <t>コウジョウ</t>
    </rPh>
    <phoneticPr fontId="1"/>
  </si>
  <si>
    <t>（福）協立福祉会　あずみの里</t>
    <rPh sb="1" eb="2">
      <t>フク</t>
    </rPh>
    <rPh sb="3" eb="5">
      <t>キョウリツ</t>
    </rPh>
    <rPh sb="5" eb="7">
      <t>フクシ</t>
    </rPh>
    <rPh sb="7" eb="8">
      <t>カイ</t>
    </rPh>
    <rPh sb="13" eb="14">
      <t>サト</t>
    </rPh>
    <phoneticPr fontId="1"/>
  </si>
  <si>
    <t>医療法人　仁雄会　穂高病院</t>
    <rPh sb="0" eb="2">
      <t>イリョウ</t>
    </rPh>
    <rPh sb="2" eb="4">
      <t>ホウジン</t>
    </rPh>
    <rPh sb="5" eb="6">
      <t>ジン</t>
    </rPh>
    <rPh sb="6" eb="7">
      <t>ユウ</t>
    </rPh>
    <rPh sb="7" eb="8">
      <t>カイ</t>
    </rPh>
    <rPh sb="9" eb="11">
      <t>ホタカ</t>
    </rPh>
    <rPh sb="11" eb="13">
      <t>ビョウイン</t>
    </rPh>
    <phoneticPr fontId="1"/>
  </si>
  <si>
    <t>長野県立こども病院</t>
    <rPh sb="0" eb="4">
      <t>ナガノケンリツ</t>
    </rPh>
    <rPh sb="7" eb="9">
      <t>ビョウイン</t>
    </rPh>
    <phoneticPr fontId="1"/>
  </si>
  <si>
    <t>関西電力㈱黒四管理事務所</t>
    <rPh sb="0" eb="2">
      <t>カンサイ</t>
    </rPh>
    <rPh sb="2" eb="4">
      <t>デンリョク</t>
    </rPh>
    <rPh sb="5" eb="6">
      <t>クロ</t>
    </rPh>
    <rPh sb="6" eb="7">
      <t>ヨン</t>
    </rPh>
    <rPh sb="7" eb="9">
      <t>カンリ</t>
    </rPh>
    <rPh sb="9" eb="11">
      <t>ジム</t>
    </rPh>
    <rPh sb="11" eb="12">
      <t>ショ</t>
    </rPh>
    <phoneticPr fontId="1"/>
  </si>
  <si>
    <t>㈱白馬アルプスホテル</t>
    <rPh sb="1" eb="3">
      <t>ハクバ</t>
    </rPh>
    <phoneticPr fontId="1"/>
  </si>
  <si>
    <t>奥白馬高原開発㈱</t>
    <rPh sb="0" eb="1">
      <t>オク</t>
    </rPh>
    <rPh sb="1" eb="3">
      <t>ハクバ</t>
    </rPh>
    <rPh sb="3" eb="5">
      <t>コウゲン</t>
    </rPh>
    <rPh sb="5" eb="7">
      <t>カイハツ</t>
    </rPh>
    <phoneticPr fontId="1"/>
  </si>
  <si>
    <t>長野県厚生農業協同組合連合会北信総合病院</t>
    <rPh sb="0" eb="3">
      <t>ナガノケン</t>
    </rPh>
    <rPh sb="3" eb="5">
      <t>コウセイ</t>
    </rPh>
    <rPh sb="5" eb="7">
      <t>ノウギョウ</t>
    </rPh>
    <rPh sb="7" eb="9">
      <t>キョウドウ</t>
    </rPh>
    <rPh sb="9" eb="11">
      <t>クミアイ</t>
    </rPh>
    <rPh sb="11" eb="14">
      <t>レンゴウカイ</t>
    </rPh>
    <rPh sb="14" eb="16">
      <t>ホクシン</t>
    </rPh>
    <rPh sb="16" eb="18">
      <t>ソウゴウ</t>
    </rPh>
    <rPh sb="18" eb="20">
      <t>ビョウイン</t>
    </rPh>
    <phoneticPr fontId="1"/>
  </si>
  <si>
    <t>併用</t>
    <rPh sb="0" eb="2">
      <t>ヘイヨウ</t>
    </rPh>
    <phoneticPr fontId="6"/>
  </si>
  <si>
    <t>令和２年度</t>
    <phoneticPr fontId="6"/>
  </si>
  <si>
    <t>１事業者</t>
    <rPh sb="1" eb="4">
      <t>ジギョウシャ</t>
    </rPh>
    <phoneticPr fontId="6"/>
  </si>
  <si>
    <t xml:space="preserve"> 　　令和２年度該当なし（令和元年度からの地方繰越分についても該当なし）</t>
    <rPh sb="8" eb="10">
      <t>ガイトウ</t>
    </rPh>
    <rPh sb="13" eb="15">
      <t>レイワ</t>
    </rPh>
    <rPh sb="15" eb="17">
      <t>ガンネン</t>
    </rPh>
    <rPh sb="17" eb="18">
      <t>ド</t>
    </rPh>
    <rPh sb="21" eb="23">
      <t>チホウ</t>
    </rPh>
    <rPh sb="23" eb="25">
      <t>クリコシ</t>
    </rPh>
    <rPh sb="25" eb="26">
      <t>ブン</t>
    </rPh>
    <rPh sb="31" eb="33">
      <t>ガイトウ</t>
    </rPh>
    <phoneticPr fontId="6"/>
  </si>
  <si>
    <t>諏訪市</t>
    <rPh sb="0" eb="2">
      <t>スワ</t>
    </rPh>
    <rPh sb="2" eb="3">
      <t>シ</t>
    </rPh>
    <phoneticPr fontId="6"/>
  </si>
  <si>
    <t>後山、上野、覗石</t>
    <rPh sb="0" eb="2">
      <t>ウシロヤマ</t>
    </rPh>
    <rPh sb="3" eb="5">
      <t>ウエノ</t>
    </rPh>
    <rPh sb="6" eb="7">
      <t>ノゾ</t>
    </rPh>
    <rPh sb="7" eb="8">
      <t>イシ</t>
    </rPh>
    <phoneticPr fontId="57"/>
  </si>
  <si>
    <t>北入、上青木、釜沢</t>
    <rPh sb="0" eb="1">
      <t>キタ</t>
    </rPh>
    <rPh sb="1" eb="2">
      <t>イリ</t>
    </rPh>
    <rPh sb="3" eb="6">
      <t>カミアオキ</t>
    </rPh>
    <rPh sb="7" eb="9">
      <t>カマサワ</t>
    </rPh>
    <phoneticPr fontId="57"/>
  </si>
  <si>
    <t>筑北村</t>
    <rPh sb="0" eb="1">
      <t>チク</t>
    </rPh>
    <rPh sb="1" eb="2">
      <t>ホク</t>
    </rPh>
    <rPh sb="2" eb="3">
      <t>ムラ</t>
    </rPh>
    <phoneticPr fontId="6"/>
  </si>
  <si>
    <t>筑北</t>
    <rPh sb="0" eb="1">
      <t>チク</t>
    </rPh>
    <rPh sb="1" eb="2">
      <t>ホク</t>
    </rPh>
    <phoneticPr fontId="6"/>
  </si>
  <si>
    <t>R16</t>
    <phoneticPr fontId="6"/>
  </si>
  <si>
    <t>R15</t>
    <phoneticPr fontId="6"/>
  </si>
  <si>
    <t>R5</t>
    <phoneticPr fontId="6"/>
  </si>
  <si>
    <t>水道管路耐震化等推進事業費
（水道管路緊急改善事業）</t>
    <rPh sb="0" eb="2">
      <t>スイドウ</t>
    </rPh>
    <rPh sb="2" eb="4">
      <t>カンロ</t>
    </rPh>
    <rPh sb="4" eb="7">
      <t>タイシンカ</t>
    </rPh>
    <rPh sb="7" eb="8">
      <t>トウ</t>
    </rPh>
    <rPh sb="8" eb="10">
      <t>スイシン</t>
    </rPh>
    <rPh sb="10" eb="12">
      <t>ジギョウ</t>
    </rPh>
    <rPh sb="12" eb="13">
      <t>ヒ</t>
    </rPh>
    <rPh sb="15" eb="17">
      <t>スイドウ</t>
    </rPh>
    <rPh sb="17" eb="19">
      <t>カンロ</t>
    </rPh>
    <rPh sb="19" eb="21">
      <t>キンキュウ</t>
    </rPh>
    <rPh sb="21" eb="23">
      <t>カイゼン</t>
    </rPh>
    <rPh sb="23" eb="25">
      <t>ジギョウ</t>
    </rPh>
    <phoneticPr fontId="6"/>
  </si>
  <si>
    <t>水道事業運営基盤強化推進事業
（水道施設台帳整備事業）</t>
    <rPh sb="0" eb="2">
      <t>スイドウ</t>
    </rPh>
    <rPh sb="2" eb="4">
      <t>ジギョウ</t>
    </rPh>
    <rPh sb="4" eb="6">
      <t>ウンエイ</t>
    </rPh>
    <rPh sb="6" eb="8">
      <t>キバン</t>
    </rPh>
    <rPh sb="8" eb="10">
      <t>キョウカ</t>
    </rPh>
    <rPh sb="10" eb="12">
      <t>スイシン</t>
    </rPh>
    <rPh sb="12" eb="14">
      <t>ジギョウ</t>
    </rPh>
    <rPh sb="16" eb="18">
      <t>スイドウ</t>
    </rPh>
    <rPh sb="18" eb="20">
      <t>シセツ</t>
    </rPh>
    <rPh sb="20" eb="22">
      <t>ダイチョウ</t>
    </rPh>
    <rPh sb="22" eb="24">
      <t>セイビ</t>
    </rPh>
    <rPh sb="24" eb="26">
      <t>ジギョウ</t>
    </rPh>
    <phoneticPr fontId="6"/>
  </si>
  <si>
    <t>19事業者</t>
    <rPh sb="2" eb="5">
      <t>ジギョウシャ</t>
    </rPh>
    <phoneticPr fontId="6"/>
  </si>
  <si>
    <t>（令和元年度からの地方繰越分）</t>
    <rPh sb="1" eb="3">
      <t>レイワ</t>
    </rPh>
    <rPh sb="3" eb="4">
      <t>モト</t>
    </rPh>
    <rPh sb="4" eb="6">
      <t>ネンド</t>
    </rPh>
    <rPh sb="9" eb="11">
      <t>チホウ</t>
    </rPh>
    <rPh sb="11" eb="13">
      <t>クリコシ</t>
    </rPh>
    <rPh sb="13" eb="14">
      <t>ブン</t>
    </rPh>
    <phoneticPr fontId="6"/>
  </si>
  <si>
    <t>※H30本繰+R1当初（追加）</t>
    <rPh sb="4" eb="5">
      <t>ホン</t>
    </rPh>
    <rPh sb="5" eb="6">
      <t>クリ</t>
    </rPh>
    <rPh sb="9" eb="11">
      <t>トウショ</t>
    </rPh>
    <rPh sb="12" eb="14">
      <t>ツイカ</t>
    </rPh>
    <phoneticPr fontId="6"/>
  </si>
  <si>
    <t>４事業者</t>
    <rPh sb="1" eb="4">
      <t>ジギョウシャ</t>
    </rPh>
    <phoneticPr fontId="6"/>
  </si>
  <si>
    <t>S54</t>
    <phoneticPr fontId="5"/>
  </si>
  <si>
    <t>H元</t>
    <rPh sb="1" eb="2">
      <t>ガン</t>
    </rPh>
    <phoneticPr fontId="5"/>
  </si>
  <si>
    <t>前年度からの繰越分を含まない</t>
    <rPh sb="0" eb="3">
      <t>ゼンネンド</t>
    </rPh>
    <rPh sb="6" eb="8">
      <t>クリコシ</t>
    </rPh>
    <rPh sb="8" eb="9">
      <t>ブン</t>
    </rPh>
    <rPh sb="10" eb="11">
      <t>フク</t>
    </rPh>
    <phoneticPr fontId="5"/>
  </si>
  <si>
    <t>R元</t>
    <rPh sb="1" eb="2">
      <t>ガン</t>
    </rPh>
    <phoneticPr fontId="5"/>
  </si>
  <si>
    <t>H27</t>
    <phoneticPr fontId="5"/>
  </si>
  <si>
    <t>令和２年度</t>
    <rPh sb="0" eb="2">
      <t>レイワ</t>
    </rPh>
    <rPh sb="3" eb="5">
      <t>ネンド</t>
    </rPh>
    <phoneticPr fontId="6"/>
  </si>
  <si>
    <t>事業費
（円）</t>
    <rPh sb="0" eb="3">
      <t>ジギョウヒ</t>
    </rPh>
    <rPh sb="5" eb="6">
      <t>エン</t>
    </rPh>
    <phoneticPr fontId="6"/>
  </si>
  <si>
    <t>補助金
（円）</t>
    <rPh sb="0" eb="3">
      <t>ホジョキン</t>
    </rPh>
    <rPh sb="5" eb="6">
      <t>エン</t>
    </rPh>
    <phoneticPr fontId="6"/>
  </si>
  <si>
    <t>　　※令和２年度は該当無し</t>
    <rPh sb="3" eb="5">
      <t>レイワ</t>
    </rPh>
    <rPh sb="6" eb="8">
      <t>ネンド</t>
    </rPh>
    <rPh sb="9" eb="11">
      <t>ガイトウ</t>
    </rPh>
    <rPh sb="11" eb="12">
      <t>ナ</t>
    </rPh>
    <phoneticPr fontId="6"/>
  </si>
  <si>
    <t>３０．大臣認可の水道用水供給事業及び上水道（令和４年４月１日現在）</t>
    <rPh sb="3" eb="5">
      <t>ダイジン</t>
    </rPh>
    <rPh sb="5" eb="7">
      <t>ニンカ</t>
    </rPh>
    <rPh sb="8" eb="10">
      <t>スイドウ</t>
    </rPh>
    <rPh sb="10" eb="12">
      <t>ヨウスイ</t>
    </rPh>
    <rPh sb="12" eb="14">
      <t>キョウキュウ</t>
    </rPh>
    <rPh sb="14" eb="16">
      <t>ジギョウ</t>
    </rPh>
    <rPh sb="16" eb="17">
      <t>オヨ</t>
    </rPh>
    <rPh sb="18" eb="19">
      <t>ジョウ</t>
    </rPh>
    <rPh sb="19" eb="21">
      <t>スイドウ</t>
    </rPh>
    <rPh sb="22" eb="24">
      <t>レイワ</t>
    </rPh>
    <rPh sb="25" eb="26">
      <t>ネン</t>
    </rPh>
    <rPh sb="27" eb="28">
      <t>ガツ</t>
    </rPh>
    <rPh sb="29" eb="30">
      <t>ニチ</t>
    </rPh>
    <rPh sb="30" eb="32">
      <t>ゲンザイ</t>
    </rPh>
    <phoneticPr fontId="6"/>
  </si>
  <si>
    <t>（１）月別（令和２年度）</t>
    <rPh sb="3" eb="5">
      <t>ツキベツ</t>
    </rPh>
    <rPh sb="6" eb="8">
      <t>レイワ</t>
    </rPh>
    <rPh sb="9" eb="11">
      <t>ネンド</t>
    </rPh>
    <phoneticPr fontId="6"/>
  </si>
  <si>
    <t>（２）地域振興局別（令和２年度）</t>
    <rPh sb="3" eb="5">
      <t>チイキ</t>
    </rPh>
    <rPh sb="5" eb="7">
      <t>シンコウ</t>
    </rPh>
    <rPh sb="7" eb="8">
      <t>キョク</t>
    </rPh>
    <rPh sb="8" eb="9">
      <t>ツキベツ</t>
    </rPh>
    <rPh sb="10" eb="12">
      <t>レイワ</t>
    </rPh>
    <rPh sb="13" eb="15">
      <t>ネンド</t>
    </rPh>
    <phoneticPr fontId="6"/>
  </si>
  <si>
    <t>３４．登録検査機関（令和４年４月１日現在）</t>
    <rPh sb="3" eb="5">
      <t>トウロク</t>
    </rPh>
    <rPh sb="5" eb="7">
      <t>ケンサ</t>
    </rPh>
    <rPh sb="7" eb="9">
      <t>キカン</t>
    </rPh>
    <rPh sb="10" eb="12">
      <t>レイワ</t>
    </rPh>
    <rPh sb="13" eb="14">
      <t>ネン</t>
    </rPh>
    <rPh sb="14" eb="15">
      <t>ヘイネン</t>
    </rPh>
    <rPh sb="15" eb="16">
      <t>ガツ</t>
    </rPh>
    <rPh sb="17" eb="18">
      <t>ニチ</t>
    </rPh>
    <rPh sb="18" eb="20">
      <t>ゲンザイ</t>
    </rPh>
    <phoneticPr fontId="6"/>
  </si>
  <si>
    <t>　　　〒１４１－００３２　　　東京都中央区日本橋本石町１丁目２番２号</t>
    <rPh sb="15" eb="18">
      <t>トウキョウト</t>
    </rPh>
    <rPh sb="18" eb="21">
      <t>チュウオウク</t>
    </rPh>
    <rPh sb="21" eb="27">
      <t>ニホンバシホンゴクチョウ</t>
    </rPh>
    <rPh sb="28" eb="30">
      <t>チョウメ</t>
    </rPh>
    <rPh sb="31" eb="32">
      <t>バン</t>
    </rPh>
    <rPh sb="33" eb="34">
      <t>ゴウ</t>
    </rPh>
    <phoneticPr fontId="6"/>
  </si>
  <si>
    <t>　　　ＴＥＬ０３－６８４８－４２２６　</t>
    <phoneticPr fontId="6"/>
  </si>
  <si>
    <t>（一財）北陸保健衛生研究所</t>
    <rPh sb="1" eb="2">
      <t>イチ</t>
    </rPh>
    <rPh sb="2" eb="3">
      <t>ザイ</t>
    </rPh>
    <rPh sb="4" eb="6">
      <t>ホクリク</t>
    </rPh>
    <rPh sb="6" eb="8">
      <t>ホケン</t>
    </rPh>
    <rPh sb="8" eb="10">
      <t>エイセイ</t>
    </rPh>
    <rPh sb="10" eb="12">
      <t>ケンキュウ</t>
    </rPh>
    <rPh sb="12" eb="13">
      <t>ジョ</t>
    </rPh>
    <phoneticPr fontId="6"/>
  </si>
  <si>
    <t>　　　〒９２０－１１５４　　　石川県金沢市太陽が丘３丁目１番２</t>
    <rPh sb="15" eb="18">
      <t>イシカワケン</t>
    </rPh>
    <rPh sb="18" eb="21">
      <t>カナザワシ</t>
    </rPh>
    <rPh sb="21" eb="23">
      <t>タイヨウ</t>
    </rPh>
    <rPh sb="24" eb="25">
      <t>オカ</t>
    </rPh>
    <rPh sb="26" eb="28">
      <t>チョウメ</t>
    </rPh>
    <rPh sb="29" eb="30">
      <t>バン</t>
    </rPh>
    <phoneticPr fontId="6"/>
  </si>
  <si>
    <t>　　　ＴＥＬ０２９－８３６－７０１３　　　ＦＡＸ０２９－８３６－７４５０</t>
    <phoneticPr fontId="6"/>
  </si>
  <si>
    <t>　　　〒３８０－０９１８　　　長野市アークス１３番１１号</t>
    <rPh sb="15" eb="18">
      <t>ナガノシ</t>
    </rPh>
    <rPh sb="24" eb="25">
      <t>バン</t>
    </rPh>
    <rPh sb="27" eb="28">
      <t>ゴウ</t>
    </rPh>
    <phoneticPr fontId="6"/>
  </si>
  <si>
    <t>　　　〒３７０－３５１１　　　群馬県高崎市金古町１７０９番地１</t>
    <phoneticPr fontId="6"/>
  </si>
  <si>
    <t>　　　〒５８４－００６７　　　大阪府富田林市錦織南２丁目９番２号</t>
    <rPh sb="15" eb="16">
      <t>オオ</t>
    </rPh>
    <rPh sb="16" eb="17">
      <t>サカ</t>
    </rPh>
    <rPh sb="17" eb="18">
      <t>フ</t>
    </rPh>
    <rPh sb="18" eb="19">
      <t>トミ</t>
    </rPh>
    <rPh sb="19" eb="20">
      <t>タ</t>
    </rPh>
    <rPh sb="20" eb="21">
      <t>ハヤシ</t>
    </rPh>
    <rPh sb="21" eb="22">
      <t>シ</t>
    </rPh>
    <rPh sb="22" eb="23">
      <t>ニシキ</t>
    </rPh>
    <rPh sb="23" eb="24">
      <t>オ</t>
    </rPh>
    <rPh sb="24" eb="25">
      <t>ミナミ</t>
    </rPh>
    <rPh sb="26" eb="28">
      <t>チョウメ</t>
    </rPh>
    <rPh sb="29" eb="30">
      <t>バン</t>
    </rPh>
    <rPh sb="31" eb="32">
      <t>ゴウ</t>
    </rPh>
    <phoneticPr fontId="6"/>
  </si>
  <si>
    <t>　　　ＴＥＬ０５４－２６８－６７６３　　　ＦＡＸ０５４－２６８－６７６４　　</t>
    <phoneticPr fontId="6"/>
  </si>
  <si>
    <t>　　　ＴＥＬ０５８６－７３－１５１２　　　ＦＡＸ０５８６－７３－１６２０ 　　　</t>
    <phoneticPr fontId="6"/>
  </si>
  <si>
    <t>　　　〒９５９－１２４１　　　新潟県燕市小高６０１４番地</t>
    <rPh sb="15" eb="18">
      <t>ニイガタケン</t>
    </rPh>
    <rPh sb="18" eb="20">
      <t>ツバメシ</t>
    </rPh>
    <rPh sb="20" eb="22">
      <t>コダカ</t>
    </rPh>
    <rPh sb="26" eb="28">
      <t>バンチ</t>
    </rPh>
    <phoneticPr fontId="6"/>
  </si>
  <si>
    <t>　　　ＴＥＬ０２５６－４６－８３１１　　　ＦＡＸ０２５６－４６－８３１０</t>
    <phoneticPr fontId="6"/>
  </si>
  <si>
    <t>　　　ＴＥＬ０４２－５８９－６２７０　　　ＦＡＸ０４２－５８９－６２７１</t>
    <phoneticPr fontId="6"/>
  </si>
  <si>
    <t>　　　〒５２４－０１０２　　　滋賀県守山市水保町２４７７番地</t>
    <phoneticPr fontId="6"/>
  </si>
  <si>
    <r>
      <t>　　　ＴＥＬ</t>
    </r>
    <r>
      <rPr>
        <sz val="10"/>
        <rFont val="ＭＳ Ｐゴシック"/>
        <family val="3"/>
        <charset val="128"/>
      </rPr>
      <t>０７７－５８４－３００３　　　ＦＡＸ０７７－５８４－３００６</t>
    </r>
    <phoneticPr fontId="6"/>
  </si>
  <si>
    <t>　　　〒７３３－０８１２　　　広島県広島市西区己斐本町３丁目１３番１６号　　　</t>
    <rPh sb="28" eb="30">
      <t>チョウメ</t>
    </rPh>
    <rPh sb="32" eb="33">
      <t>バン</t>
    </rPh>
    <rPh sb="35" eb="36">
      <t>ゴウ</t>
    </rPh>
    <phoneticPr fontId="6"/>
  </si>
  <si>
    <t>　　　ＴＥＬ０８２－２７２－９０００　　　ＦＡＸ０８２－２７２－１２３０</t>
    <phoneticPr fontId="6"/>
  </si>
  <si>
    <t xml:space="preserve">　　　ＴＥＬ０３－５４４１－７０１０　　　ＦＡＸ０３－５４４１－７０１１  　　　 </t>
    <phoneticPr fontId="6"/>
  </si>
  <si>
    <t>　　　〒４００－０３０６　　　山梨県南アルプス市小笠原６番地</t>
    <rPh sb="15" eb="18">
      <t>ヤマナシケン</t>
    </rPh>
    <rPh sb="18" eb="19">
      <t>ミナミ</t>
    </rPh>
    <rPh sb="23" eb="24">
      <t>シ</t>
    </rPh>
    <rPh sb="24" eb="27">
      <t>オガサワラ</t>
    </rPh>
    <rPh sb="28" eb="30">
      <t>バンチ</t>
    </rPh>
    <phoneticPr fontId="6"/>
  </si>
  <si>
    <t xml:space="preserve">　　　ＴＥＬ０５２－６１１－０６１１　　　ＦＡＸ０５２－６１２－９３８４  　　　 </t>
    <phoneticPr fontId="6"/>
  </si>
  <si>
    <t>　　　〒３７０－０８８６　　　群馬県高崎市下大島町６２５番地</t>
    <rPh sb="15" eb="18">
      <t>グンマケン</t>
    </rPh>
    <rPh sb="18" eb="21">
      <t>タカサキシ</t>
    </rPh>
    <rPh sb="21" eb="24">
      <t>シモオオシマ</t>
    </rPh>
    <rPh sb="24" eb="25">
      <t>マチ</t>
    </rPh>
    <rPh sb="28" eb="30">
      <t>バンチ</t>
    </rPh>
    <phoneticPr fontId="6"/>
  </si>
  <si>
    <t>　　　〒３９０－１２４２　　　松本市大字和田４０１０番地５</t>
    <rPh sb="15" eb="18">
      <t>マツモトシ</t>
    </rPh>
    <rPh sb="18" eb="20">
      <t>オオアザ</t>
    </rPh>
    <rPh sb="20" eb="22">
      <t>ワダ</t>
    </rPh>
    <rPh sb="26" eb="28">
      <t>バンチ</t>
    </rPh>
    <phoneticPr fontId="6"/>
  </si>
  <si>
    <t>（一財）岐阜県公衆衛生検査センター</t>
    <rPh sb="2" eb="3">
      <t>ザイ</t>
    </rPh>
    <phoneticPr fontId="6"/>
  </si>
  <si>
    <t>（一社）埼玉県環境検査研究協会</t>
    <rPh sb="4" eb="7">
      <t>サイタマケン</t>
    </rPh>
    <rPh sb="7" eb="9">
      <t>カンキョウ</t>
    </rPh>
    <rPh sb="9" eb="11">
      <t>ケンサ</t>
    </rPh>
    <rPh sb="11" eb="13">
      <t>ケンキュウ</t>
    </rPh>
    <rPh sb="13" eb="15">
      <t>キョウカイ</t>
    </rPh>
    <phoneticPr fontId="6"/>
  </si>
  <si>
    <t>　　　〒３３０－０８５５　　　埼玉県さいたま市大宮区上小町１４５０番地１１</t>
    <rPh sb="15" eb="18">
      <t>サイタマケン</t>
    </rPh>
    <rPh sb="22" eb="23">
      <t>シ</t>
    </rPh>
    <rPh sb="23" eb="26">
      <t>オオミヤク</t>
    </rPh>
    <rPh sb="26" eb="28">
      <t>ジョウショウ</t>
    </rPh>
    <rPh sb="28" eb="29">
      <t>マチ</t>
    </rPh>
    <rPh sb="33" eb="35">
      <t>バンチ</t>
    </rPh>
    <phoneticPr fontId="6"/>
  </si>
  <si>
    <t>　　　ＴＥＬ０４８－６４９－５４９６　　　ＦＡＸ０４８－６４９－５４９３</t>
    <phoneticPr fontId="6"/>
  </si>
  <si>
    <t>（一社）新潟県環境衛生中央研究所</t>
    <rPh sb="4" eb="7">
      <t>ニイガタケン</t>
    </rPh>
    <rPh sb="7" eb="9">
      <t>カンキョウ</t>
    </rPh>
    <rPh sb="9" eb="11">
      <t>エイセイ</t>
    </rPh>
    <rPh sb="11" eb="13">
      <t>チュウオウ</t>
    </rPh>
    <rPh sb="13" eb="16">
      <t>ケンキュウジョ</t>
    </rPh>
    <phoneticPr fontId="6"/>
  </si>
  <si>
    <t>　　　〒９４０－２１２７　　　新潟県長岡市新産２丁目１２番地７</t>
    <rPh sb="15" eb="18">
      <t>ニイガタケン</t>
    </rPh>
    <rPh sb="18" eb="21">
      <t>ナガオカシ</t>
    </rPh>
    <rPh sb="21" eb="22">
      <t>シン</t>
    </rPh>
    <rPh sb="22" eb="23">
      <t>サン</t>
    </rPh>
    <rPh sb="24" eb="26">
      <t>チョウメ</t>
    </rPh>
    <rPh sb="28" eb="30">
      <t>バンチ</t>
    </rPh>
    <phoneticPr fontId="6"/>
  </si>
  <si>
    <t>　　　ＴＥＬ０１７２－４３－１１００　　　ＦＡＸ０１７２－４３－１１６６　　</t>
    <phoneticPr fontId="6"/>
  </si>
  <si>
    <t>　　　ＴＥＬ０５５－２２８－２８５８　　　ＦＡＸ０５５－２２８－８３４３</t>
    <phoneticPr fontId="6"/>
  </si>
  <si>
    <t>　　　〒４２６－００４１　　　静岡県藤枝市高柳２３１０番地</t>
    <rPh sb="15" eb="18">
      <t>シズオカケン</t>
    </rPh>
    <rPh sb="18" eb="21">
      <t>フジエダシ</t>
    </rPh>
    <rPh sb="21" eb="23">
      <t>タカヤナギ</t>
    </rPh>
    <rPh sb="27" eb="29">
      <t>バンチ</t>
    </rPh>
    <phoneticPr fontId="6"/>
  </si>
  <si>
    <t>日東化学工業（株）</t>
    <rPh sb="0" eb="2">
      <t>ニットウ</t>
    </rPh>
    <rPh sb="2" eb="4">
      <t>カガク</t>
    </rPh>
    <rPh sb="4" eb="6">
      <t>コウギョウ</t>
    </rPh>
    <rPh sb="7" eb="8">
      <t>カブ</t>
    </rPh>
    <phoneticPr fontId="6"/>
  </si>
  <si>
    <t>　　　〒８０３－０２７７　　　福岡県北九州市小倉南区徳吉東４丁目９番１号</t>
    <phoneticPr fontId="6"/>
  </si>
  <si>
    <t>　　　ＴＥＬ０９３－４５１－２７１１　　　ＦＡＸ０９３－４５１－５５３７</t>
  </si>
  <si>
    <t>（一財）北陸保健衛生研究所</t>
    <rPh sb="2" eb="3">
      <t>ザイ</t>
    </rPh>
    <rPh sb="4" eb="6">
      <t>ホクリク</t>
    </rPh>
    <rPh sb="6" eb="8">
      <t>ホケン</t>
    </rPh>
    <rPh sb="8" eb="10">
      <t>エイセイ</t>
    </rPh>
    <rPh sb="10" eb="12">
      <t>ケンキュウ</t>
    </rPh>
    <rPh sb="12" eb="13">
      <t>ジョ</t>
    </rPh>
    <phoneticPr fontId="6"/>
  </si>
  <si>
    <r>
      <t>　　　〒３８１－００２５　　　</t>
    </r>
    <r>
      <rPr>
        <sz val="9"/>
        <rFont val="ＭＳ Ｐゴシック"/>
        <family val="3"/>
        <charset val="128"/>
      </rPr>
      <t>長野市大字北長池字南長池境２０５８番地３</t>
    </r>
    <rPh sb="15" eb="18">
      <t>ナガノシ</t>
    </rPh>
    <rPh sb="18" eb="20">
      <t>オオアザ</t>
    </rPh>
    <rPh sb="20" eb="21">
      <t>キタ</t>
    </rPh>
    <rPh sb="21" eb="23">
      <t>ナガイケ</t>
    </rPh>
    <rPh sb="23" eb="24">
      <t>アザ</t>
    </rPh>
    <rPh sb="24" eb="25">
      <t>ミナミ</t>
    </rPh>
    <rPh sb="25" eb="27">
      <t>ナガイケ</t>
    </rPh>
    <rPh sb="27" eb="28">
      <t>サカイ</t>
    </rPh>
    <rPh sb="32" eb="34">
      <t>バンチ</t>
    </rPh>
    <phoneticPr fontId="6"/>
  </si>
  <si>
    <t>　　　〒５９０－０９８４　　　大阪府堺市堺区神南辺町１丁４番地６</t>
    <rPh sb="15" eb="18">
      <t>オオサカフ</t>
    </rPh>
    <rPh sb="18" eb="20">
      <t>サカイシ</t>
    </rPh>
    <rPh sb="20" eb="22">
      <t>サカイク</t>
    </rPh>
    <rPh sb="22" eb="23">
      <t>カミ</t>
    </rPh>
    <rPh sb="23" eb="24">
      <t>ミナミ</t>
    </rPh>
    <rPh sb="24" eb="25">
      <t>ヘ</t>
    </rPh>
    <rPh sb="25" eb="26">
      <t>マチ</t>
    </rPh>
    <rPh sb="27" eb="28">
      <t>チョウ</t>
    </rPh>
    <rPh sb="29" eb="31">
      <t>バンチ</t>
    </rPh>
    <phoneticPr fontId="6"/>
  </si>
  <si>
    <t xml:space="preserve">　　　〒５０９－０２０１　　　岐阜県可児市川合１３６番地８ </t>
    <phoneticPr fontId="6"/>
  </si>
  <si>
    <t>　　　ＴＥＬ０５７４－６３－７７０３　　  ＦＡＸ０５７４－６３－７７０６</t>
    <phoneticPr fontId="6"/>
  </si>
  <si>
    <t>　　　〒６１９－０２３７　　　京都府相楽郡精華町光台２丁目３番９号</t>
    <rPh sb="15" eb="18">
      <t>キョウトフ</t>
    </rPh>
    <rPh sb="18" eb="21">
      <t>ソウラクグン</t>
    </rPh>
    <rPh sb="21" eb="24">
      <t>セイカチョウ</t>
    </rPh>
    <rPh sb="24" eb="25">
      <t>ヒカリ</t>
    </rPh>
    <rPh sb="25" eb="26">
      <t>ダイ</t>
    </rPh>
    <rPh sb="27" eb="29">
      <t>チョウメ</t>
    </rPh>
    <rPh sb="30" eb="31">
      <t>バン</t>
    </rPh>
    <rPh sb="32" eb="33">
      <t>ゴウ</t>
    </rPh>
    <phoneticPr fontId="6"/>
  </si>
  <si>
    <t>３６．水道水源保全地区の概況（令和４年３月末）</t>
    <rPh sb="3" eb="5">
      <t>スイドウ</t>
    </rPh>
    <rPh sb="5" eb="7">
      <t>スイゲン</t>
    </rPh>
    <rPh sb="7" eb="9">
      <t>ホゼン</t>
    </rPh>
    <rPh sb="9" eb="11">
      <t>チク</t>
    </rPh>
    <rPh sb="12" eb="14">
      <t>ガイキョウ</t>
    </rPh>
    <rPh sb="15" eb="17">
      <t>レイワ</t>
    </rPh>
    <rPh sb="18" eb="19">
      <t>ネン</t>
    </rPh>
    <rPh sb="20" eb="22">
      <t>ガツマツ</t>
    </rPh>
    <phoneticPr fontId="6"/>
  </si>
  <si>
    <t xml:space="preserve">
　水道水源保全地区は、長野県水環境保全条例（平成4年条例第12号）に基づき、水道水源を保全するため
特に必要な区域として、知事が指定するものです。</t>
    <rPh sb="2" eb="4">
      <t>スイドウ</t>
    </rPh>
    <rPh sb="4" eb="6">
      <t>スイゲン</t>
    </rPh>
    <rPh sb="6" eb="8">
      <t>ホゼン</t>
    </rPh>
    <rPh sb="8" eb="10">
      <t>チク</t>
    </rPh>
    <rPh sb="12" eb="15">
      <t>ナガノケン</t>
    </rPh>
    <rPh sb="15" eb="16">
      <t>ミズ</t>
    </rPh>
    <rPh sb="16" eb="18">
      <t>カンキョウ</t>
    </rPh>
    <rPh sb="18" eb="20">
      <t>ホゼン</t>
    </rPh>
    <rPh sb="20" eb="22">
      <t>ジョウレイ</t>
    </rPh>
    <rPh sb="23" eb="25">
      <t>ヘイセイ</t>
    </rPh>
    <rPh sb="26" eb="27">
      <t>ネン</t>
    </rPh>
    <rPh sb="27" eb="29">
      <t>ジョウレイ</t>
    </rPh>
    <rPh sb="29" eb="30">
      <t>ダイ</t>
    </rPh>
    <rPh sb="32" eb="33">
      <t>ゴウ</t>
    </rPh>
    <rPh sb="35" eb="36">
      <t>モト</t>
    </rPh>
    <rPh sb="39" eb="41">
      <t>スイドウ</t>
    </rPh>
    <rPh sb="41" eb="43">
      <t>スイゲン</t>
    </rPh>
    <rPh sb="44" eb="46">
      <t>ホゼン</t>
    </rPh>
    <rPh sb="51" eb="52">
      <t>トク</t>
    </rPh>
    <rPh sb="53" eb="55">
      <t>ヒツヨウ</t>
    </rPh>
    <rPh sb="56" eb="58">
      <t>クイキ</t>
    </rPh>
    <rPh sb="62" eb="64">
      <t>チジ</t>
    </rPh>
    <rPh sb="65" eb="67">
      <t>シテイ</t>
    </rPh>
    <phoneticPr fontId="6"/>
  </si>
  <si>
    <t>３７．水資源保全地域の概況（令和４年３月末）</t>
    <rPh sb="3" eb="6">
      <t>ミズシゲン</t>
    </rPh>
    <rPh sb="6" eb="8">
      <t>ホゼン</t>
    </rPh>
    <rPh sb="8" eb="10">
      <t>チイキ</t>
    </rPh>
    <rPh sb="11" eb="13">
      <t>ガイキョウ</t>
    </rPh>
    <rPh sb="14" eb="16">
      <t>レイワ</t>
    </rPh>
    <rPh sb="17" eb="18">
      <t>ネン</t>
    </rPh>
    <rPh sb="19" eb="21">
      <t>ガツマツ</t>
    </rPh>
    <phoneticPr fontId="6"/>
  </si>
  <si>
    <t>クリプトスポリジウム等病原性原虫対策としてろ過施設、紫外線処理施設の整備等</t>
    <rPh sb="10" eb="11">
      <t>トウ</t>
    </rPh>
    <rPh sb="11" eb="14">
      <t>ビョウゲンセイ</t>
    </rPh>
    <rPh sb="14" eb="16">
      <t>ゲンチュウ</t>
    </rPh>
    <rPh sb="16" eb="18">
      <t>タイサク</t>
    </rPh>
    <rPh sb="22" eb="23">
      <t>カ</t>
    </rPh>
    <rPh sb="23" eb="25">
      <t>シセツ</t>
    </rPh>
    <rPh sb="26" eb="29">
      <t>シガイセン</t>
    </rPh>
    <rPh sb="29" eb="31">
      <t>ショリ</t>
    </rPh>
    <rPh sb="31" eb="33">
      <t>シセツ</t>
    </rPh>
    <rPh sb="34" eb="36">
      <t>セイビ</t>
    </rPh>
    <rPh sb="36" eb="37">
      <t>トウ</t>
    </rPh>
    <phoneticPr fontId="6"/>
  </si>
  <si>
    <t>平成19年以降に上水道事業に含まれることとなった簡易水道施設等のうち、他の水道施設から原則200ｍ以上の距離を有し、</t>
    <rPh sb="0" eb="2">
      <t>ヘイセイ</t>
    </rPh>
    <rPh sb="4" eb="7">
      <t>ネンイコウ</t>
    </rPh>
    <rPh sb="8" eb="11">
      <t>ジョウスイドウ</t>
    </rPh>
    <rPh sb="11" eb="13">
      <t>ジギョウ</t>
    </rPh>
    <rPh sb="14" eb="15">
      <t>フク</t>
    </rPh>
    <rPh sb="24" eb="26">
      <t>カンイ</t>
    </rPh>
    <rPh sb="26" eb="28">
      <t>スイドウ</t>
    </rPh>
    <rPh sb="28" eb="30">
      <t>シセツ</t>
    </rPh>
    <rPh sb="30" eb="31">
      <t>トウ</t>
    </rPh>
    <rPh sb="35" eb="36">
      <t>タ</t>
    </rPh>
    <phoneticPr fontId="6"/>
  </si>
  <si>
    <t>①当該上水道事業の資本単価が全上水道事業の平均以上かつ当該施設の有収水量当たりの増補改良事業費用が平均以上</t>
    <phoneticPr fontId="6"/>
  </si>
  <si>
    <t>基幹的な構造物の耐震化のための補強事業</t>
    <rPh sb="0" eb="3">
      <t>キカンテキ</t>
    </rPh>
    <rPh sb="4" eb="7">
      <t>コウゾウブツ</t>
    </rPh>
    <rPh sb="8" eb="11">
      <t>タイシンカ</t>
    </rPh>
    <rPh sb="15" eb="17">
      <t>ホキョウ</t>
    </rPh>
    <rPh sb="17" eb="19">
      <t>ジギョウ</t>
    </rPh>
    <phoneticPr fontId="6"/>
  </si>
  <si>
    <t>緊急遮断弁又は非常用電源設備を設置する事業　等</t>
    <rPh sb="0" eb="2">
      <t>キンキュウ</t>
    </rPh>
    <rPh sb="2" eb="4">
      <t>シャダン</t>
    </rPh>
    <rPh sb="4" eb="5">
      <t>ベン</t>
    </rPh>
    <rPh sb="5" eb="6">
      <t>マタ</t>
    </rPh>
    <rPh sb="7" eb="10">
      <t>ヒジョウヨウ</t>
    </rPh>
    <rPh sb="10" eb="12">
      <t>デンゲン</t>
    </rPh>
    <rPh sb="12" eb="14">
      <t>セツビ</t>
    </rPh>
    <rPh sb="15" eb="17">
      <t>セッチ</t>
    </rPh>
    <rPh sb="19" eb="21">
      <t>ジギョウ</t>
    </rPh>
    <rPh sb="22" eb="23">
      <t>トウ</t>
    </rPh>
    <phoneticPr fontId="6"/>
  </si>
  <si>
    <t>②経営戦略を策定しており、上水道事業に含まれる簡易水道施設等の給水人口比率の割合が10％以上</t>
    <rPh sb="1" eb="3">
      <t>ケイエイ</t>
    </rPh>
    <rPh sb="3" eb="5">
      <t>センリャク</t>
    </rPh>
    <rPh sb="6" eb="8">
      <t>サクテイ</t>
    </rPh>
    <rPh sb="13" eb="16">
      <t>ジョウスイドウ</t>
    </rPh>
    <rPh sb="16" eb="18">
      <t>ジギョウ</t>
    </rPh>
    <rPh sb="19" eb="20">
      <t>フク</t>
    </rPh>
    <rPh sb="23" eb="25">
      <t>カンイ</t>
    </rPh>
    <rPh sb="25" eb="27">
      <t>スイドウ</t>
    </rPh>
    <rPh sb="27" eb="29">
      <t>シセツ</t>
    </rPh>
    <rPh sb="29" eb="30">
      <t>トウ</t>
    </rPh>
    <rPh sb="31" eb="33">
      <t>キュウスイ</t>
    </rPh>
    <rPh sb="33" eb="35">
      <t>ジンコウ</t>
    </rPh>
    <rPh sb="35" eb="37">
      <t>ヒリツ</t>
    </rPh>
    <rPh sb="38" eb="40">
      <t>ワリアイ</t>
    </rPh>
    <rPh sb="44" eb="46">
      <t>イジョウ</t>
    </rPh>
    <phoneticPr fontId="6"/>
  </si>
  <si>
    <t>③経営戦略を策定しており、有収水量１m3あたりの資本費又は給水原価が毎年度通知する平均以上</t>
    <rPh sb="1" eb="3">
      <t>ケイエイ</t>
    </rPh>
    <rPh sb="3" eb="5">
      <t>センリャク</t>
    </rPh>
    <rPh sb="6" eb="8">
      <t>サクテイ</t>
    </rPh>
    <rPh sb="13" eb="15">
      <t>ユウシュウ</t>
    </rPh>
    <rPh sb="15" eb="17">
      <t>スイリョウ</t>
    </rPh>
    <rPh sb="24" eb="26">
      <t>シホン</t>
    </rPh>
    <rPh sb="26" eb="27">
      <t>ヒ</t>
    </rPh>
    <rPh sb="27" eb="28">
      <t>マタ</t>
    </rPh>
    <rPh sb="29" eb="31">
      <t>キュウスイ</t>
    </rPh>
    <rPh sb="31" eb="33">
      <t>ゲンカ</t>
    </rPh>
    <rPh sb="34" eb="37">
      <t>マイネンド</t>
    </rPh>
    <rPh sb="37" eb="39">
      <t>ツウチ</t>
    </rPh>
    <rPh sb="41" eb="43">
      <t>ヘイキン</t>
    </rPh>
    <rPh sb="43" eb="45">
      <t>イジョウ</t>
    </rPh>
    <phoneticPr fontId="6"/>
  </si>
  <si>
    <t>簡易水道施設等の基幹改良を行う事業</t>
    <rPh sb="0" eb="2">
      <t>カンイ</t>
    </rPh>
    <rPh sb="2" eb="4">
      <t>スイドウ</t>
    </rPh>
    <rPh sb="4" eb="6">
      <t>シセツ</t>
    </rPh>
    <rPh sb="6" eb="7">
      <t>トウ</t>
    </rPh>
    <rPh sb="8" eb="10">
      <t>キカン</t>
    </rPh>
    <rPh sb="10" eb="12">
      <t>カイリョウ</t>
    </rPh>
    <rPh sb="13" eb="14">
      <t>オコナ</t>
    </rPh>
    <rPh sb="15" eb="17">
      <t>ジギョウ</t>
    </rPh>
    <phoneticPr fontId="6"/>
  </si>
  <si>
    <t>設置後原則10年以上経過した機械等を廃止して新設するもの</t>
    <rPh sb="0" eb="2">
      <t>セッチ</t>
    </rPh>
    <rPh sb="2" eb="3">
      <t>ゴ</t>
    </rPh>
    <rPh sb="3" eb="5">
      <t>ゲンソク</t>
    </rPh>
    <rPh sb="14" eb="16">
      <t>キカイ</t>
    </rPh>
    <rPh sb="16" eb="17">
      <t>トウ</t>
    </rPh>
    <phoneticPr fontId="6"/>
  </si>
  <si>
    <t>簡易水道施設等の水量を拡張する事業</t>
    <rPh sb="0" eb="2">
      <t>カンイ</t>
    </rPh>
    <rPh sb="2" eb="4">
      <t>スイドウ</t>
    </rPh>
    <rPh sb="4" eb="6">
      <t>シセツ</t>
    </rPh>
    <rPh sb="6" eb="7">
      <t>トウ</t>
    </rPh>
    <rPh sb="8" eb="10">
      <t>スイリョウ</t>
    </rPh>
    <rPh sb="11" eb="13">
      <t>カクチョウ</t>
    </rPh>
    <rPh sb="15" eb="17">
      <t>ジギョウ</t>
    </rPh>
    <phoneticPr fontId="6"/>
  </si>
  <si>
    <t>緊急時において近隣の水道事業体等の間若しくは同一の水道事業体内で水道水を相互融通できる施設を整備する事業</t>
    <rPh sb="0" eb="2">
      <t>キンキュウ</t>
    </rPh>
    <rPh sb="2" eb="3">
      <t>ジ</t>
    </rPh>
    <rPh sb="7" eb="9">
      <t>キンリン</t>
    </rPh>
    <rPh sb="10" eb="12">
      <t>スイドウ</t>
    </rPh>
    <rPh sb="12" eb="14">
      <t>ジギョウ</t>
    </rPh>
    <rPh sb="14" eb="15">
      <t>タイ</t>
    </rPh>
    <rPh sb="15" eb="16">
      <t>トウ</t>
    </rPh>
    <rPh sb="17" eb="18">
      <t>カン</t>
    </rPh>
    <rPh sb="18" eb="19">
      <t>モ</t>
    </rPh>
    <rPh sb="22" eb="24">
      <t>ドウイツ</t>
    </rPh>
    <rPh sb="25" eb="27">
      <t>スイドウ</t>
    </rPh>
    <rPh sb="27" eb="29">
      <t>ジギョウ</t>
    </rPh>
    <rPh sb="29" eb="30">
      <t>タイ</t>
    </rPh>
    <rPh sb="30" eb="31">
      <t>ナイ</t>
    </rPh>
    <rPh sb="32" eb="35">
      <t>スイドウスイ</t>
    </rPh>
    <rPh sb="36" eb="38">
      <t>ソウゴ</t>
    </rPh>
    <rPh sb="38" eb="40">
      <t>ユウズウ</t>
    </rPh>
    <rPh sb="43" eb="45">
      <t>シセツ</t>
    </rPh>
    <rPh sb="46" eb="48">
      <t>セイビ</t>
    </rPh>
    <rPh sb="50" eb="52">
      <t>ジギョウ</t>
    </rPh>
    <phoneticPr fontId="6"/>
  </si>
  <si>
    <t>水管橋耐震化等事業</t>
    <rPh sb="0" eb="1">
      <t>スイ</t>
    </rPh>
    <rPh sb="1" eb="2">
      <t>カン</t>
    </rPh>
    <rPh sb="2" eb="3">
      <t>キョウ</t>
    </rPh>
    <rPh sb="3" eb="6">
      <t>タイシンカ</t>
    </rPh>
    <rPh sb="6" eb="7">
      <t>トウ</t>
    </rPh>
    <rPh sb="7" eb="9">
      <t>ジギョウ</t>
    </rPh>
    <phoneticPr fontId="6"/>
  </si>
  <si>
    <t>布設後40年以上が経過した水管橋として布設されている導・送水管の更新事業及び水管橋の補強、改築・更新事業</t>
    <rPh sb="0" eb="2">
      <t>フセツ</t>
    </rPh>
    <rPh sb="2" eb="3">
      <t>ゴ</t>
    </rPh>
    <rPh sb="5" eb="8">
      <t>ネンイジョウ</t>
    </rPh>
    <rPh sb="9" eb="11">
      <t>ケイカ</t>
    </rPh>
    <rPh sb="13" eb="14">
      <t>スイ</t>
    </rPh>
    <rPh sb="14" eb="15">
      <t>カン</t>
    </rPh>
    <rPh sb="15" eb="16">
      <t>キョウ</t>
    </rPh>
    <rPh sb="19" eb="21">
      <t>フセツ</t>
    </rPh>
    <rPh sb="26" eb="27">
      <t>ドウ</t>
    </rPh>
    <rPh sb="28" eb="31">
      <t>ソウスイカン</t>
    </rPh>
    <rPh sb="32" eb="34">
      <t>コウシン</t>
    </rPh>
    <rPh sb="34" eb="36">
      <t>ジギョウ</t>
    </rPh>
    <rPh sb="36" eb="37">
      <t>オヨ</t>
    </rPh>
    <rPh sb="38" eb="39">
      <t>スイ</t>
    </rPh>
    <rPh sb="39" eb="40">
      <t>カン</t>
    </rPh>
    <rPh sb="40" eb="41">
      <t>キョウ</t>
    </rPh>
    <rPh sb="42" eb="44">
      <t>ホキョウ</t>
    </rPh>
    <rPh sb="45" eb="47">
      <t>カイチク</t>
    </rPh>
    <rPh sb="48" eb="50">
      <t>コウシン</t>
    </rPh>
    <rPh sb="50" eb="52">
      <t>ジギョウ</t>
    </rPh>
    <phoneticPr fontId="6"/>
  </si>
  <si>
    <t>他の管路等の使用によりバックアップして水供給を行うことができないこと</t>
    <rPh sb="0" eb="1">
      <t>タ</t>
    </rPh>
    <rPh sb="2" eb="4">
      <t>カンロ</t>
    </rPh>
    <rPh sb="4" eb="5">
      <t>トウ</t>
    </rPh>
    <rPh sb="6" eb="8">
      <t>シヨウ</t>
    </rPh>
    <rPh sb="19" eb="20">
      <t>ミズ</t>
    </rPh>
    <rPh sb="20" eb="22">
      <t>キョウキュウ</t>
    </rPh>
    <rPh sb="23" eb="24">
      <t>オコナ</t>
    </rPh>
    <phoneticPr fontId="6"/>
  </si>
  <si>
    <t>計画区域内の給水人口が原則５万人以上であること（現在給水人口１万人未満の水道事業又は簡易水道事業を含む場合は３万人以上）</t>
    <rPh sb="0" eb="2">
      <t>ケイカク</t>
    </rPh>
    <rPh sb="2" eb="4">
      <t>クイキ</t>
    </rPh>
    <rPh sb="4" eb="5">
      <t>ナイ</t>
    </rPh>
    <rPh sb="6" eb="8">
      <t>キュウスイ</t>
    </rPh>
    <rPh sb="8" eb="10">
      <t>ジンコウ</t>
    </rPh>
    <rPh sb="11" eb="13">
      <t>ゲンソク</t>
    </rPh>
    <rPh sb="14" eb="16">
      <t>マンニン</t>
    </rPh>
    <rPh sb="16" eb="18">
      <t>イジョウ</t>
    </rPh>
    <rPh sb="24" eb="26">
      <t>ゲンザイ</t>
    </rPh>
    <rPh sb="26" eb="28">
      <t>キュウスイ</t>
    </rPh>
    <rPh sb="28" eb="30">
      <t>ジンコウ</t>
    </rPh>
    <rPh sb="31" eb="33">
      <t>マンニン</t>
    </rPh>
    <rPh sb="33" eb="35">
      <t>ミマン</t>
    </rPh>
    <rPh sb="36" eb="38">
      <t>スイドウ</t>
    </rPh>
    <rPh sb="38" eb="40">
      <t>ジギョウ</t>
    </rPh>
    <rPh sb="40" eb="41">
      <t>マタ</t>
    </rPh>
    <rPh sb="42" eb="44">
      <t>カンイ</t>
    </rPh>
    <rPh sb="44" eb="46">
      <t>スイドウ</t>
    </rPh>
    <rPh sb="46" eb="48">
      <t>ジギョウ</t>
    </rPh>
    <rPh sb="49" eb="50">
      <t>フク</t>
    </rPh>
    <rPh sb="51" eb="53">
      <t>バアイ</t>
    </rPh>
    <rPh sb="55" eb="57">
      <t>マンニン</t>
    </rPh>
    <rPh sb="57" eb="59">
      <t>イジョウ</t>
    </rPh>
    <phoneticPr fontId="6"/>
  </si>
  <si>
    <t>広域化事業による水道施設の統廃合に伴い廃止する水道施設の撤去に関する事業</t>
    <rPh sb="0" eb="3">
      <t>コウイキカ</t>
    </rPh>
    <rPh sb="3" eb="5">
      <t>ジギョウ</t>
    </rPh>
    <rPh sb="8" eb="10">
      <t>スイドウ</t>
    </rPh>
    <rPh sb="10" eb="12">
      <t>シセツ</t>
    </rPh>
    <rPh sb="13" eb="16">
      <t>トウハイゴウ</t>
    </rPh>
    <rPh sb="17" eb="18">
      <t>トモナ</t>
    </rPh>
    <rPh sb="19" eb="21">
      <t>ハイシ</t>
    </rPh>
    <rPh sb="23" eb="25">
      <t>スイドウ</t>
    </rPh>
    <rPh sb="25" eb="27">
      <t>シセツ</t>
    </rPh>
    <rPh sb="28" eb="30">
      <t>テッキョ</t>
    </rPh>
    <rPh sb="31" eb="32">
      <t>カン</t>
    </rPh>
    <rPh sb="34" eb="36">
      <t>ジギョウ</t>
    </rPh>
    <phoneticPr fontId="6"/>
  </si>
  <si>
    <t>水道事業におけるIoT・新技術活用推進モデル事業</t>
    <rPh sb="0" eb="2">
      <t>スイドウ</t>
    </rPh>
    <rPh sb="2" eb="4">
      <t>ジギョウ</t>
    </rPh>
    <rPh sb="12" eb="15">
      <t>シンギジュツ</t>
    </rPh>
    <rPh sb="15" eb="17">
      <t>カツヨウ</t>
    </rPh>
    <rPh sb="17" eb="19">
      <t>スイシン</t>
    </rPh>
    <rPh sb="22" eb="24">
      <t>ジギョウ</t>
    </rPh>
    <phoneticPr fontId="6"/>
  </si>
  <si>
    <t>IoT技術又は新技術を活用した業務の効率化や付加価値の高い水道サービスの実現を図る事業であること</t>
    <rPh sb="3" eb="5">
      <t>ギジュツ</t>
    </rPh>
    <rPh sb="5" eb="6">
      <t>マタ</t>
    </rPh>
    <rPh sb="7" eb="10">
      <t>シンギジュツ</t>
    </rPh>
    <rPh sb="11" eb="13">
      <t>カツヨウ</t>
    </rPh>
    <rPh sb="15" eb="17">
      <t>ギョウム</t>
    </rPh>
    <rPh sb="18" eb="21">
      <t>コウリツカ</t>
    </rPh>
    <rPh sb="22" eb="24">
      <t>フカ</t>
    </rPh>
    <rPh sb="24" eb="26">
      <t>カチ</t>
    </rPh>
    <rPh sb="27" eb="28">
      <t>タカ</t>
    </rPh>
    <rPh sb="29" eb="31">
      <t>スイドウ</t>
    </rPh>
    <rPh sb="36" eb="38">
      <t>ジツゲン</t>
    </rPh>
    <rPh sb="39" eb="40">
      <t>ハカ</t>
    </rPh>
    <rPh sb="41" eb="43">
      <t>ジギョウ</t>
    </rPh>
    <phoneticPr fontId="6"/>
  </si>
  <si>
    <t>水資源保全地域の概況（令和４年３月末）</t>
    <rPh sb="0" eb="3">
      <t>ミズシゲン</t>
    </rPh>
    <rPh sb="3" eb="5">
      <t>ホゼン</t>
    </rPh>
    <rPh sb="5" eb="7">
      <t>チイキ</t>
    </rPh>
    <rPh sb="8" eb="10">
      <t>ガイキョウ</t>
    </rPh>
    <rPh sb="11" eb="13">
      <t>レイワ</t>
    </rPh>
    <rPh sb="14" eb="15">
      <t>ネン</t>
    </rPh>
    <rPh sb="16" eb="17">
      <t>ガツ</t>
    </rPh>
    <rPh sb="17" eb="18">
      <t>マツ</t>
    </rPh>
    <phoneticPr fontId="6"/>
  </si>
  <si>
    <t>水道水源保全地区の概況（令和４年３月末）</t>
    <rPh sb="0" eb="2">
      <t>スイドウ</t>
    </rPh>
    <rPh sb="2" eb="4">
      <t>スイゲン</t>
    </rPh>
    <rPh sb="4" eb="6">
      <t>ホゼン</t>
    </rPh>
    <rPh sb="6" eb="8">
      <t>チク</t>
    </rPh>
    <rPh sb="9" eb="11">
      <t>ガイキョウ</t>
    </rPh>
    <rPh sb="12" eb="14">
      <t>レイワ</t>
    </rPh>
    <rPh sb="15" eb="16">
      <t>ネン</t>
    </rPh>
    <rPh sb="17" eb="19">
      <t>ガツマツ</t>
    </rPh>
    <phoneticPr fontId="6"/>
  </si>
  <si>
    <t>登録検査機関（令和４年４月１日現在）</t>
    <rPh sb="0" eb="2">
      <t>トウロク</t>
    </rPh>
    <rPh sb="2" eb="4">
      <t>ケンサ</t>
    </rPh>
    <rPh sb="4" eb="6">
      <t>キカン</t>
    </rPh>
    <rPh sb="7" eb="9">
      <t>レイワ</t>
    </rPh>
    <rPh sb="10" eb="11">
      <t>ネン</t>
    </rPh>
    <rPh sb="12" eb="13">
      <t>ガツ</t>
    </rPh>
    <rPh sb="14" eb="17">
      <t>ニチゲンザイ</t>
    </rPh>
    <phoneticPr fontId="6"/>
  </si>
  <si>
    <t>大臣認可の水道用水供給事業及び上水道（令和４年４月１日現在）</t>
    <rPh sb="0" eb="2">
      <t>ダイジン</t>
    </rPh>
    <rPh sb="2" eb="4">
      <t>ニンカ</t>
    </rPh>
    <rPh sb="5" eb="7">
      <t>スイドウ</t>
    </rPh>
    <rPh sb="7" eb="9">
      <t>ヨウスイ</t>
    </rPh>
    <rPh sb="9" eb="11">
      <t>キョウキュウ</t>
    </rPh>
    <rPh sb="11" eb="13">
      <t>ジギョウ</t>
    </rPh>
    <rPh sb="13" eb="14">
      <t>オヨ</t>
    </rPh>
    <rPh sb="15" eb="16">
      <t>ジョウ</t>
    </rPh>
    <rPh sb="16" eb="18">
      <t>スイドウ</t>
    </rPh>
    <rPh sb="19" eb="21">
      <t>レイワ</t>
    </rPh>
    <rPh sb="22" eb="23">
      <t>ネン</t>
    </rPh>
    <rPh sb="24" eb="25">
      <t>ガツ</t>
    </rPh>
    <rPh sb="26" eb="27">
      <t>ニチ</t>
    </rPh>
    <rPh sb="27" eb="29">
      <t>ゲンザイ</t>
    </rPh>
    <phoneticPr fontId="6"/>
  </si>
  <si>
    <t>グラフで表す水道の状況（令和２年度）</t>
    <rPh sb="4" eb="5">
      <t>アラワ</t>
    </rPh>
    <rPh sb="6" eb="8">
      <t>スイドウ</t>
    </rPh>
    <rPh sb="9" eb="11">
      <t>ジョウキョウ</t>
    </rPh>
    <rPh sb="12" eb="14">
      <t>レイワ</t>
    </rPh>
    <rPh sb="15" eb="17">
      <t>ネンド</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</si>
</sst>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41" formatCode="_ * #,##0_ ;_ * \-#,##0_ ;_ * &quot;-&quot;_ ;_ @_ "/>
    <numFmt numFmtId="176" formatCode="#,##0.0;[Red]\-#,##0.0"/>
    <numFmt numFmtId="177" formatCode="#,##0_ "/>
    <numFmt numFmtId="178" formatCode="#,##0.0_ "/>
    <numFmt numFmtId="179" formatCode="\(#,##0\)"/>
    <numFmt numFmtId="180" formatCode="\(0.0\)"/>
    <numFmt numFmtId="181" formatCode="0.0%"/>
    <numFmt numFmtId="182" formatCode="#,##0.0000_ "/>
    <numFmt numFmtId="183" formatCode="\(#,##0.0\)"/>
    <numFmt numFmtId="184" formatCode="#,##0_);\(#,##0\)"/>
    <numFmt numFmtId="185" formatCode="0_ "/>
    <numFmt numFmtId="186" formatCode="[$-411]ge"/>
    <numFmt numFmtId="187" formatCode="0.0_ "/>
    <numFmt numFmtId="188" formatCode="#,##0.0"/>
    <numFmt numFmtId="189" formatCode="0.0_);[Red]\(0.0\)"/>
    <numFmt numFmtId="190" formatCode="#,##0_);[Red]\(#,##0\)"/>
    <numFmt numFmtId="191" formatCode="\(0\)"/>
    <numFmt numFmtId="192" formatCode="0.0"/>
    <numFmt numFmtId="193" formatCode="[$-411]ge\.m\.d;@"/>
    <numFmt numFmtId="194" formatCode="0&quot;年&quot;"/>
    <numFmt numFmtId="195" formatCode="0&quot;日&quot;"/>
    <numFmt numFmtId="196" formatCode="0_);[Red]\(0\)"/>
    <numFmt numFmtId="197" formatCode="&quot;H&quot;00"/>
    <numFmt numFmtId="198" formatCode="0&quot;月&quot;"/>
    <numFmt numFmtId="199" formatCode="#,##0_ ;[Red]\-#,##0\ "/>
    <numFmt numFmtId="200" formatCode="&quot;〔&quot;#,##0&quot;〕&quot;;[Red]\-#,##0"/>
    <numFmt numFmtId="201" formatCode="&quot;H&quot;0"/>
    <numFmt numFmtId="202" formatCode="#\ ?/10"/>
    <numFmt numFmtId="203" formatCode="0.000%"/>
    <numFmt numFmtId="204" formatCode="&quot;H&quot;\ \ \ #,###.#."/>
    <numFmt numFmtId="205" formatCode="#,##0.00_);\(#,##0.00\)"/>
    <numFmt numFmtId="206" formatCode="0&quot;事業&quot;"/>
  </numFmts>
  <fonts count="76">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0"/>
      <name val="ＭＳ Ｐゴシック"/>
      <family val="3"/>
      <charset val="128"/>
    </font>
    <font>
      <sz val="14"/>
      <name val="ＭＳ Ｐゴシック"/>
      <family val="3"/>
      <charset val="128"/>
    </font>
    <font>
      <u/>
      <sz val="10"/>
      <name val="ＭＳ Ｐゴシック"/>
      <family val="3"/>
      <charset val="128"/>
    </font>
    <font>
      <sz val="9"/>
      <name val="ＭＳ Ｐゴシック"/>
      <family val="3"/>
      <charset val="128"/>
    </font>
    <font>
      <vertAlign val="superscript"/>
      <sz val="10"/>
      <name val="ＭＳ Ｐゴシック"/>
      <family val="3"/>
      <charset val="128"/>
    </font>
    <font>
      <u/>
      <sz val="9"/>
      <name val="ＭＳ Ｐゴシック"/>
      <family val="3"/>
      <charset val="128"/>
    </font>
    <font>
      <i/>
      <sz val="11"/>
      <name val="ＭＳ Ｐゴシック"/>
      <family val="3"/>
      <charset val="128"/>
    </font>
    <font>
      <sz val="10"/>
      <color indexed="8"/>
      <name val="ＭＳ Ｐゴシック"/>
      <family val="3"/>
      <charset val="128"/>
    </font>
    <font>
      <sz val="18"/>
      <color theme="3"/>
      <name val="ＭＳ Ｐゴシック"/>
      <family val="2"/>
      <charset val="128"/>
      <scheme val="major"/>
    </font>
    <font>
      <sz val="28"/>
      <color indexed="8"/>
      <name val="ＭＳ Ｐゴシック"/>
      <family val="3"/>
      <charset val="128"/>
    </font>
    <font>
      <sz val="18"/>
      <color indexed="8"/>
      <name val="ＭＳ Ｐゴシック"/>
      <family val="3"/>
      <charset val="128"/>
    </font>
    <font>
      <b/>
      <sz val="18"/>
      <color indexed="8"/>
      <name val="ＭＳ Ｐゴシック"/>
      <family val="3"/>
      <charset val="128"/>
    </font>
    <font>
      <sz val="20"/>
      <name val="ＭＳ Ｐゴシック"/>
      <family val="3"/>
      <charset val="128"/>
    </font>
    <font>
      <sz val="18"/>
      <color theme="1"/>
      <name val="ＭＳ Ｐゴシック"/>
      <family val="3"/>
      <charset val="128"/>
    </font>
    <font>
      <vertAlign val="superscript"/>
      <sz val="18"/>
      <color indexed="8"/>
      <name val="ＭＳ Ｐゴシック"/>
      <family val="3"/>
      <charset val="128"/>
    </font>
    <font>
      <sz val="14"/>
      <color indexed="8"/>
      <name val="ＭＳ Ｐゴシック"/>
      <family val="3"/>
      <charset val="128"/>
    </font>
    <font>
      <b/>
      <sz val="9"/>
      <color indexed="81"/>
      <name val="ＭＳ Ｐゴシック"/>
      <family val="3"/>
      <charset val="128"/>
    </font>
    <font>
      <sz val="11"/>
      <name val="ＭＳ ゴシック"/>
      <family val="3"/>
      <charset val="128"/>
    </font>
    <font>
      <sz val="12"/>
      <name val="ＭＳ Ｐゴシック"/>
      <family val="3"/>
      <charset val="128"/>
    </font>
    <font>
      <sz val="8"/>
      <name val="ＭＳ Ｐゴシック"/>
      <family val="3"/>
      <charset val="128"/>
    </font>
    <font>
      <sz val="6"/>
      <name val="ＭＳ ゴシック"/>
      <family val="3"/>
      <charset val="128"/>
    </font>
    <font>
      <sz val="9"/>
      <color indexed="8"/>
      <name val="ＭＳ 明朝"/>
      <family val="1"/>
      <charset val="128"/>
    </font>
    <font>
      <sz val="10"/>
      <color rgb="FFFF0000"/>
      <name val="ＭＳ Ｐゴシック"/>
      <family val="3"/>
      <charset val="128"/>
    </font>
    <font>
      <sz val="7"/>
      <name val="ＭＳ Ｐ明朝"/>
      <family val="1"/>
      <charset val="128"/>
    </font>
    <font>
      <sz val="10"/>
      <color theme="1"/>
      <name val="ＭＳ Ｐゴシック"/>
      <family val="3"/>
      <charset val="128"/>
    </font>
    <font>
      <sz val="9"/>
      <color indexed="8"/>
      <name val="ＭＳ Ｐゴシック"/>
      <family val="3"/>
      <charset val="128"/>
    </font>
    <font>
      <b/>
      <sz val="11"/>
      <name val="ＭＳ Ｐゴシック"/>
      <family val="3"/>
      <charset val="128"/>
    </font>
    <font>
      <sz val="26"/>
      <color indexed="8"/>
      <name val="ＭＳ Ｐゴシック"/>
      <family val="3"/>
      <charset val="128"/>
    </font>
    <font>
      <sz val="18"/>
      <name val="ＭＳ Ｐゴシック"/>
      <family val="3"/>
      <charset val="128"/>
    </font>
    <font>
      <sz val="14"/>
      <name val="明朝"/>
      <family val="3"/>
      <charset val="128"/>
    </font>
    <font>
      <sz val="12"/>
      <name val="ＭＳ ゴシック"/>
      <family val="3"/>
      <charset val="128"/>
    </font>
    <font>
      <sz val="7"/>
      <name val="明朝"/>
      <family val="3"/>
      <charset val="128"/>
    </font>
    <font>
      <vertAlign val="superscript"/>
      <sz val="10"/>
      <color indexed="8"/>
      <name val="ＭＳ Ｐゴシック"/>
      <family val="3"/>
      <charset val="128"/>
    </font>
    <font>
      <sz val="10"/>
      <color indexed="10"/>
      <name val="ＭＳ Ｐゴシック"/>
      <family val="3"/>
      <charset val="128"/>
    </font>
    <font>
      <vertAlign val="superscript"/>
      <sz val="9"/>
      <color indexed="8"/>
      <name val="ＭＳ Ｐゴシック"/>
      <family val="3"/>
      <charset val="128"/>
    </font>
    <font>
      <vertAlign val="superscript"/>
      <sz val="9"/>
      <name val="ＭＳ Ｐゴシック"/>
      <family val="3"/>
      <charset val="128"/>
    </font>
    <font>
      <b/>
      <sz val="11"/>
      <color indexed="56"/>
      <name val="ＭＳ Ｐゴシック"/>
      <family val="3"/>
      <charset val="128"/>
    </font>
    <font>
      <sz val="6"/>
      <name val="ＭＳ Ｐゴシック"/>
      <family val="2"/>
      <charset val="128"/>
      <scheme val="minor"/>
    </font>
    <font>
      <sz val="7"/>
      <name val="ＭＳ Ｐゴシック"/>
      <family val="3"/>
      <charset val="128"/>
    </font>
    <font>
      <b/>
      <sz val="15"/>
      <color indexed="56"/>
      <name val="ＭＳ Ｐゴシック"/>
      <family val="3"/>
      <charset val="128"/>
    </font>
    <font>
      <sz val="8"/>
      <color indexed="8"/>
      <name val="ＭＳ Ｐゴシック"/>
      <family val="3"/>
      <charset val="128"/>
    </font>
    <font>
      <sz val="14"/>
      <color theme="1"/>
      <name val="ＭＳ Ｐゴシック"/>
      <family val="3"/>
      <charset val="128"/>
    </font>
    <font>
      <sz val="9"/>
      <color theme="1"/>
      <name val="ＭＳ Ｐゴシック"/>
      <family val="3"/>
      <charset val="128"/>
    </font>
    <font>
      <sz val="11"/>
      <color indexed="8"/>
      <name val="ＭＳ Ｐゴシック"/>
      <family val="3"/>
      <charset val="128"/>
    </font>
    <font>
      <sz val="9"/>
      <color rgb="FF000000"/>
      <name val="ＭＳ Ｐゴシック"/>
      <family val="3"/>
      <charset val="128"/>
    </font>
    <font>
      <vertAlign val="superscript"/>
      <sz val="6"/>
      <name val="ＭＳ Ｐゴシック"/>
      <family val="3"/>
      <charset val="128"/>
    </font>
    <font>
      <sz val="9"/>
      <color rgb="FFFF0000"/>
      <name val="ＭＳ Ｐゴシック"/>
      <family val="3"/>
      <charset val="128"/>
    </font>
    <font>
      <sz val="9"/>
      <color rgb="FF00B050"/>
      <name val="ＭＳ Ｐゴシック"/>
      <family val="3"/>
      <charset val="128"/>
    </font>
    <font>
      <sz val="9"/>
      <name val="ＭＳ Ｐゴシック"/>
      <family val="3"/>
      <charset val="128"/>
      <scheme val="minor"/>
    </font>
    <font>
      <sz val="8"/>
      <name val="ＭＳ Ｐゴシック"/>
      <family val="3"/>
      <charset val="128"/>
      <scheme val="minor"/>
    </font>
    <font>
      <sz val="16"/>
      <name val="ＭＳ Ｐゴシック"/>
      <family val="3"/>
      <charset val="128"/>
    </font>
    <font>
      <sz val="10"/>
      <name val="MS UI Gothic"/>
      <family val="3"/>
      <charset val="128"/>
    </font>
    <font>
      <sz val="16"/>
      <color indexed="8"/>
      <name val="ＭＳ Ｐゴシック"/>
      <family val="3"/>
      <charset val="128"/>
    </font>
    <font>
      <b/>
      <sz val="24"/>
      <name val="ＭＳ Ｐゴシック"/>
      <family val="3"/>
      <charset val="128"/>
    </font>
    <font>
      <sz val="24"/>
      <name val="ＭＳ Ｐゴシック"/>
      <family val="3"/>
      <charset val="128"/>
    </font>
    <font>
      <b/>
      <sz val="18"/>
      <name val="ＭＳ Ｐゴシック"/>
      <family val="3"/>
      <charset val="128"/>
    </font>
    <font>
      <sz val="28"/>
      <name val="ＭＳ Ｐゴシック"/>
      <family val="3"/>
      <charset val="128"/>
    </font>
    <font>
      <b/>
      <sz val="28"/>
      <name val="ＭＳ Ｐゴシック"/>
      <family val="3"/>
      <charset val="128"/>
    </font>
    <font>
      <sz val="14"/>
      <color rgb="FFFF0000"/>
      <name val="ＭＳ Ｐゴシック"/>
      <family val="3"/>
      <charset val="128"/>
    </font>
    <font>
      <sz val="11"/>
      <color rgb="FFFF0000"/>
      <name val="ＭＳ Ｐゴシック"/>
      <family val="3"/>
      <charset val="128"/>
    </font>
    <font>
      <sz val="12"/>
      <color rgb="FFFF0000"/>
      <name val="ＭＳ Ｐゴシック"/>
      <family val="3"/>
      <charset val="128"/>
    </font>
    <font>
      <sz val="13"/>
      <name val="ＭＳ Ｐゴシック"/>
      <family val="3"/>
      <charset val="128"/>
    </font>
    <font>
      <sz val="6.85"/>
      <name val="ＭＳ Ｐゴシック"/>
      <family val="3"/>
      <charset val="128"/>
    </font>
    <font>
      <sz val="11"/>
      <name val="ＭＳ 明朝"/>
      <family val="1"/>
      <charset val="128"/>
    </font>
    <font>
      <sz val="4"/>
      <name val="ＭＳ 明朝"/>
      <family val="1"/>
      <charset val="128"/>
    </font>
    <font>
      <u/>
      <sz val="11"/>
      <color theme="10"/>
      <name val="ＭＳ Ｐゴシック"/>
      <family val="3"/>
      <charset val="128"/>
    </font>
    <font>
      <u/>
      <sz val="9"/>
      <color theme="10"/>
      <name val="ＭＳ Ｐゴシック"/>
      <family val="3"/>
      <charset val="128"/>
    </font>
    <font>
      <b/>
      <sz val="9"/>
      <color indexed="81"/>
      <name val="MS P ゴシック"/>
      <family val="3"/>
      <charset val="128"/>
    </font>
    <font>
      <sz val="10"/>
      <name val="ＭＳ Ｐゴシック"/>
      <family val="3"/>
      <charset val="128"/>
      <scheme val="minor"/>
    </font>
  </fonts>
  <fills count="15">
    <fill>
      <patternFill patternType="none"/>
    </fill>
    <fill>
      <patternFill patternType="gray125"/>
    </fill>
    <fill>
      <patternFill patternType="solid">
        <fgColor theme="0"/>
        <bgColor indexed="64"/>
      </patternFill>
    </fill>
    <fill>
      <patternFill patternType="solid">
        <fgColor rgb="FFFF99FF"/>
        <bgColor indexed="64"/>
      </patternFill>
    </fill>
    <fill>
      <patternFill patternType="solid">
        <fgColor indexed="45"/>
        <bgColor indexed="64"/>
      </patternFill>
    </fill>
    <fill>
      <patternFill patternType="solid">
        <fgColor indexed="42"/>
        <bgColor indexed="64"/>
      </patternFill>
    </fill>
    <fill>
      <patternFill patternType="solid">
        <fgColor rgb="FFFFFF00"/>
        <bgColor indexed="64"/>
      </patternFill>
    </fill>
    <fill>
      <patternFill patternType="solid">
        <fgColor rgb="FFFFC000"/>
        <bgColor indexed="64"/>
      </patternFill>
    </fill>
    <fill>
      <patternFill patternType="solid">
        <fgColor rgb="FFFF99CC"/>
        <bgColor indexed="64"/>
      </patternFill>
    </fill>
    <fill>
      <patternFill patternType="solid">
        <fgColor rgb="FFCCFFCC"/>
        <bgColor indexed="64"/>
      </patternFill>
    </fill>
    <fill>
      <patternFill patternType="solid">
        <fgColor rgb="FFFF6699"/>
        <bgColor indexed="64"/>
      </patternFill>
    </fill>
    <fill>
      <patternFill patternType="solid">
        <fgColor indexed="43"/>
        <bgColor indexed="64"/>
      </patternFill>
    </fill>
    <fill>
      <patternFill patternType="solid">
        <fgColor rgb="FFFFFF99"/>
        <bgColor indexed="64"/>
      </patternFill>
    </fill>
    <fill>
      <patternFill patternType="solid">
        <fgColor rgb="FFFF66CC"/>
        <bgColor indexed="64"/>
      </patternFill>
    </fill>
    <fill>
      <patternFill patternType="solid">
        <fgColor indexed="13"/>
        <bgColor indexed="64"/>
      </patternFill>
    </fill>
  </fills>
  <borders count="39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dashed">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ashed">
        <color indexed="64"/>
      </left>
      <right style="medium">
        <color indexed="64"/>
      </right>
      <top style="medium">
        <color indexed="64"/>
      </top>
      <bottom style="thin">
        <color indexed="64"/>
      </bottom>
      <diagonal/>
    </border>
    <border>
      <left/>
      <right/>
      <top style="thin">
        <color indexed="64"/>
      </top>
      <bottom/>
      <diagonal/>
    </border>
    <border>
      <left style="dashed">
        <color indexed="64"/>
      </left>
      <right style="medium">
        <color indexed="64"/>
      </right>
      <top style="thin">
        <color indexed="64"/>
      </top>
      <bottom style="thin">
        <color indexed="64"/>
      </bottom>
      <diagonal/>
    </border>
    <border>
      <left/>
      <right/>
      <top/>
      <bottom style="thin">
        <color indexed="64"/>
      </bottom>
      <diagonal/>
    </border>
    <border>
      <left style="dashed">
        <color indexed="64"/>
      </left>
      <right style="medium">
        <color indexed="64"/>
      </right>
      <top style="thin">
        <color indexed="64"/>
      </top>
      <bottom style="medium">
        <color indexed="64"/>
      </bottom>
      <diagonal/>
    </border>
    <border>
      <left style="medium">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style="medium">
        <color indexed="64"/>
      </bottom>
      <diagonal/>
    </border>
    <border>
      <left/>
      <right style="thin">
        <color indexed="64"/>
      </right>
      <top style="thin">
        <color indexed="64"/>
      </top>
      <bottom/>
      <diagonal/>
    </border>
    <border>
      <left style="medium">
        <color indexed="64"/>
      </left>
      <right/>
      <top style="thin">
        <color indexed="64"/>
      </top>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
      <left/>
      <right style="thin">
        <color indexed="8"/>
      </right>
      <top style="thin">
        <color indexed="8"/>
      </top>
      <bottom/>
      <diagonal/>
    </border>
    <border>
      <left/>
      <right style="thin">
        <color indexed="8"/>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thin">
        <color indexed="8"/>
      </left>
      <right/>
      <top style="thin">
        <color indexed="8"/>
      </top>
      <bottom style="thin">
        <color indexed="8"/>
      </bottom>
      <diagonal/>
    </border>
    <border>
      <left style="thin">
        <color indexed="64"/>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style="thin">
        <color indexed="8"/>
      </left>
      <right style="thin">
        <color indexed="64"/>
      </right>
      <top style="thin">
        <color indexed="64"/>
      </top>
      <bottom style="thin">
        <color indexed="8"/>
      </bottom>
      <diagonal/>
    </border>
    <border>
      <left style="thin">
        <color indexed="64"/>
      </left>
      <right style="hair">
        <color indexed="64"/>
      </right>
      <top style="thin">
        <color indexed="8"/>
      </top>
      <bottom style="thin">
        <color indexed="8"/>
      </bottom>
      <diagonal/>
    </border>
    <border>
      <left style="hair">
        <color indexed="64"/>
      </left>
      <right style="hair">
        <color indexed="64"/>
      </right>
      <top style="thin">
        <color indexed="8"/>
      </top>
      <bottom style="thin">
        <color indexed="8"/>
      </bottom>
      <diagonal/>
    </border>
    <border>
      <left style="hair">
        <color indexed="64"/>
      </left>
      <right style="thin">
        <color indexed="64"/>
      </right>
      <top style="thin">
        <color indexed="8"/>
      </top>
      <bottom style="thin">
        <color indexed="8"/>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8"/>
      </left>
      <right style="thin">
        <color indexed="8"/>
      </right>
      <top/>
      <bottom style="hair">
        <color indexed="8"/>
      </bottom>
      <diagonal/>
    </border>
    <border>
      <left style="thin">
        <color indexed="8"/>
      </left>
      <right/>
      <top/>
      <bottom style="hair">
        <color indexed="8"/>
      </bottom>
      <diagonal/>
    </border>
    <border>
      <left style="thin">
        <color indexed="64"/>
      </left>
      <right style="hair">
        <color indexed="8"/>
      </right>
      <top/>
      <bottom style="hair">
        <color indexed="8"/>
      </bottom>
      <diagonal/>
    </border>
    <border>
      <left style="hair">
        <color indexed="8"/>
      </left>
      <right style="hair">
        <color indexed="8"/>
      </right>
      <top/>
      <bottom style="hair">
        <color indexed="8"/>
      </bottom>
      <diagonal/>
    </border>
    <border>
      <left style="hair">
        <color indexed="8"/>
      </left>
      <right style="thin">
        <color indexed="64"/>
      </right>
      <top/>
      <bottom style="hair">
        <color indexed="8"/>
      </bottom>
      <diagonal/>
    </border>
    <border>
      <left/>
      <right style="hair">
        <color indexed="8"/>
      </right>
      <top/>
      <bottom style="hair">
        <color indexed="8"/>
      </bottom>
      <diagonal/>
    </border>
    <border>
      <left style="hair">
        <color indexed="8"/>
      </left>
      <right style="hair">
        <color indexed="64"/>
      </right>
      <top/>
      <bottom style="hair">
        <color indexed="8"/>
      </bottom>
      <diagonal/>
    </border>
    <border>
      <left/>
      <right style="thin">
        <color indexed="8"/>
      </right>
      <top/>
      <bottom style="hair">
        <color indexed="8"/>
      </bottom>
      <diagonal/>
    </border>
    <border>
      <left style="thin">
        <color indexed="8"/>
      </left>
      <right style="thin">
        <color indexed="8"/>
      </right>
      <top style="hair">
        <color indexed="8"/>
      </top>
      <bottom style="hair">
        <color indexed="8"/>
      </bottom>
      <diagonal/>
    </border>
    <border>
      <left style="thin">
        <color indexed="8"/>
      </left>
      <right/>
      <top style="hair">
        <color indexed="8"/>
      </top>
      <bottom style="hair">
        <color indexed="8"/>
      </bottom>
      <diagonal/>
    </border>
    <border>
      <left style="thin">
        <color indexed="64"/>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64"/>
      </right>
      <top style="hair">
        <color indexed="8"/>
      </top>
      <bottom style="hair">
        <color indexed="8"/>
      </bottom>
      <diagonal/>
    </border>
    <border>
      <left/>
      <right style="thin">
        <color indexed="8"/>
      </right>
      <top style="hair">
        <color indexed="8"/>
      </top>
      <bottom style="hair">
        <color indexed="8"/>
      </bottom>
      <diagonal/>
    </border>
    <border>
      <left style="thin">
        <color indexed="8"/>
      </left>
      <right style="thin">
        <color indexed="8"/>
      </right>
      <top style="hair">
        <color indexed="8"/>
      </top>
      <bottom style="thin">
        <color indexed="64"/>
      </bottom>
      <diagonal/>
    </border>
    <border>
      <left style="thin">
        <color indexed="8"/>
      </left>
      <right/>
      <top style="hair">
        <color indexed="8"/>
      </top>
      <bottom style="thin">
        <color indexed="64"/>
      </bottom>
      <diagonal/>
    </border>
    <border>
      <left style="thin">
        <color indexed="64"/>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right style="hair">
        <color indexed="8"/>
      </right>
      <top style="hair">
        <color indexed="8"/>
      </top>
      <bottom style="thin">
        <color indexed="64"/>
      </bottom>
      <diagonal/>
    </border>
    <border>
      <left style="hair">
        <color indexed="8"/>
      </left>
      <right style="hair">
        <color indexed="64"/>
      </right>
      <top style="hair">
        <color indexed="8"/>
      </top>
      <bottom style="thin">
        <color indexed="64"/>
      </bottom>
      <diagonal/>
    </border>
    <border>
      <left/>
      <right style="thin">
        <color indexed="8"/>
      </right>
      <top style="hair">
        <color indexed="8"/>
      </top>
      <bottom style="thin">
        <color indexed="64"/>
      </bottom>
      <diagonal/>
    </border>
    <border>
      <left style="hair">
        <color indexed="8"/>
      </left>
      <right style="hair">
        <color indexed="64"/>
      </right>
      <top style="thin">
        <color indexed="64"/>
      </top>
      <bottom style="hair">
        <color indexed="8"/>
      </bottom>
      <diagonal/>
    </border>
    <border>
      <left style="thin">
        <color indexed="8"/>
      </left>
      <right style="thin">
        <color indexed="8"/>
      </right>
      <top style="hair">
        <color indexed="8"/>
      </top>
      <bottom/>
      <diagonal/>
    </border>
    <border>
      <left style="thin">
        <color indexed="8"/>
      </left>
      <right/>
      <top style="hair">
        <color indexed="8"/>
      </top>
      <bottom/>
      <diagonal/>
    </border>
    <border>
      <left style="thin">
        <color indexed="64"/>
      </left>
      <right style="hair">
        <color indexed="8"/>
      </right>
      <top style="hair">
        <color indexed="8"/>
      </top>
      <bottom/>
      <diagonal/>
    </border>
    <border>
      <left style="hair">
        <color indexed="8"/>
      </left>
      <right style="hair">
        <color indexed="8"/>
      </right>
      <top style="hair">
        <color indexed="8"/>
      </top>
      <bottom/>
      <diagonal/>
    </border>
    <border>
      <left style="hair">
        <color indexed="8"/>
      </left>
      <right style="thin">
        <color indexed="64"/>
      </right>
      <top style="hair">
        <color indexed="8"/>
      </top>
      <bottom/>
      <diagonal/>
    </border>
    <border>
      <left/>
      <right style="hair">
        <color indexed="8"/>
      </right>
      <top style="hair">
        <color indexed="8"/>
      </top>
      <bottom/>
      <diagonal/>
    </border>
    <border>
      <left style="hair">
        <color indexed="8"/>
      </left>
      <right style="hair">
        <color indexed="64"/>
      </right>
      <top style="hair">
        <color indexed="8"/>
      </top>
      <bottom/>
      <diagonal/>
    </border>
    <border>
      <left/>
      <right style="thin">
        <color indexed="8"/>
      </right>
      <top style="hair">
        <color indexed="8"/>
      </top>
      <bottom/>
      <diagonal/>
    </border>
    <border>
      <left style="thin">
        <color indexed="8"/>
      </left>
      <right style="thin">
        <color indexed="8"/>
      </right>
      <top style="thin">
        <color indexed="8"/>
      </top>
      <bottom style="hair">
        <color indexed="8"/>
      </bottom>
      <diagonal/>
    </border>
    <border>
      <left style="thin">
        <color indexed="8"/>
      </left>
      <right/>
      <top style="thin">
        <color indexed="8"/>
      </top>
      <bottom style="hair">
        <color indexed="8"/>
      </bottom>
      <diagonal/>
    </border>
    <border>
      <left style="thin">
        <color indexed="64"/>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thin">
        <color indexed="64"/>
      </right>
      <top style="thin">
        <color indexed="8"/>
      </top>
      <bottom style="hair">
        <color indexed="8"/>
      </bottom>
      <diagonal/>
    </border>
    <border>
      <left/>
      <right style="hair">
        <color indexed="8"/>
      </right>
      <top style="thin">
        <color indexed="8"/>
      </top>
      <bottom style="hair">
        <color indexed="8"/>
      </bottom>
      <diagonal/>
    </border>
    <border>
      <left style="hair">
        <color indexed="8"/>
      </left>
      <right style="hair">
        <color indexed="64"/>
      </right>
      <top style="thin">
        <color indexed="8"/>
      </top>
      <bottom style="hair">
        <color indexed="8"/>
      </bottom>
      <diagonal/>
    </border>
    <border>
      <left/>
      <right style="thin">
        <color indexed="8"/>
      </right>
      <top style="thin">
        <color indexed="8"/>
      </top>
      <bottom style="hair">
        <color indexed="8"/>
      </bottom>
      <diagonal/>
    </border>
    <border>
      <left style="thin">
        <color indexed="8"/>
      </left>
      <right style="thin">
        <color indexed="64"/>
      </right>
      <top style="hair">
        <color indexed="8"/>
      </top>
      <bottom style="hair">
        <color indexed="64"/>
      </bottom>
      <diagonal/>
    </border>
    <border>
      <left style="thin">
        <color indexed="64"/>
      </left>
      <right style="hair">
        <color indexed="8"/>
      </right>
      <top/>
      <bottom/>
      <diagonal/>
    </border>
    <border>
      <left style="hair">
        <color indexed="8"/>
      </left>
      <right style="hair">
        <color indexed="8"/>
      </right>
      <top style="hair">
        <color indexed="8"/>
      </top>
      <bottom style="hair">
        <color indexed="64"/>
      </bottom>
      <diagonal/>
    </border>
    <border>
      <left style="hair">
        <color indexed="8"/>
      </left>
      <right style="thin">
        <color indexed="64"/>
      </right>
      <top style="hair">
        <color indexed="8"/>
      </top>
      <bottom style="hair">
        <color indexed="64"/>
      </bottom>
      <diagonal/>
    </border>
    <border>
      <left style="thin">
        <color indexed="64"/>
      </left>
      <right style="hair">
        <color indexed="8"/>
      </right>
      <top style="hair">
        <color indexed="8"/>
      </top>
      <bottom style="hair">
        <color indexed="64"/>
      </bottom>
      <diagonal/>
    </border>
    <border>
      <left/>
      <right style="hair">
        <color indexed="8"/>
      </right>
      <top style="hair">
        <color indexed="8"/>
      </top>
      <bottom style="hair">
        <color indexed="64"/>
      </bottom>
      <diagonal/>
    </border>
    <border>
      <left style="hair">
        <color indexed="8"/>
      </left>
      <right style="hair">
        <color indexed="64"/>
      </right>
      <top style="hair">
        <color indexed="8"/>
      </top>
      <bottom style="hair">
        <color indexed="64"/>
      </bottom>
      <diagonal/>
    </border>
    <border>
      <left/>
      <right style="thin">
        <color indexed="8"/>
      </right>
      <top style="hair">
        <color indexed="8"/>
      </top>
      <bottom style="hair">
        <color indexed="64"/>
      </bottom>
      <diagonal/>
    </border>
    <border>
      <left style="thin">
        <color indexed="8"/>
      </left>
      <right style="thin">
        <color indexed="8"/>
      </right>
      <top style="hair">
        <color indexed="64"/>
      </top>
      <bottom style="hair">
        <color indexed="64"/>
      </bottom>
      <diagonal/>
    </border>
    <border>
      <left style="thin">
        <color indexed="8"/>
      </left>
      <right/>
      <top style="hair">
        <color indexed="64"/>
      </top>
      <bottom style="hair">
        <color indexed="64"/>
      </bottom>
      <diagonal/>
    </border>
    <border>
      <left style="thin">
        <color indexed="64"/>
      </left>
      <right style="hair">
        <color indexed="8"/>
      </right>
      <top style="hair">
        <color indexed="64"/>
      </top>
      <bottom style="hair">
        <color indexed="64"/>
      </bottom>
      <diagonal/>
    </border>
    <border>
      <left style="hair">
        <color indexed="8"/>
      </left>
      <right style="hair">
        <color indexed="8"/>
      </right>
      <top style="hair">
        <color indexed="64"/>
      </top>
      <bottom style="hair">
        <color indexed="64"/>
      </bottom>
      <diagonal/>
    </border>
    <border>
      <left style="hair">
        <color indexed="8"/>
      </left>
      <right style="thin">
        <color indexed="64"/>
      </right>
      <top style="hair">
        <color indexed="64"/>
      </top>
      <bottom style="hair">
        <color indexed="64"/>
      </bottom>
      <diagonal/>
    </border>
    <border>
      <left/>
      <right style="hair">
        <color indexed="8"/>
      </right>
      <top style="hair">
        <color indexed="64"/>
      </top>
      <bottom style="hair">
        <color indexed="64"/>
      </bottom>
      <diagonal/>
    </border>
    <border>
      <left style="hair">
        <color indexed="8"/>
      </left>
      <right style="hair">
        <color indexed="64"/>
      </right>
      <top style="hair">
        <color indexed="64"/>
      </top>
      <bottom style="hair">
        <color indexed="64"/>
      </bottom>
      <diagonal/>
    </border>
    <border>
      <left/>
      <right style="thin">
        <color indexed="8"/>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8"/>
      </right>
      <top/>
      <bottom style="thin">
        <color indexed="64"/>
      </bottom>
      <diagonal/>
    </border>
    <border>
      <left style="thin">
        <color indexed="8"/>
      </left>
      <right/>
      <top/>
      <bottom style="thin">
        <color indexed="64"/>
      </bottom>
      <diagonal/>
    </border>
    <border>
      <left style="thin">
        <color indexed="64"/>
      </left>
      <right style="hair">
        <color indexed="8"/>
      </right>
      <top/>
      <bottom style="thin">
        <color indexed="64"/>
      </bottom>
      <diagonal/>
    </border>
    <border>
      <left style="hair">
        <color indexed="8"/>
      </left>
      <right style="hair">
        <color indexed="8"/>
      </right>
      <top/>
      <bottom style="thin">
        <color indexed="64"/>
      </bottom>
      <diagonal/>
    </border>
    <border>
      <left style="hair">
        <color indexed="8"/>
      </left>
      <right style="thin">
        <color indexed="64"/>
      </right>
      <top/>
      <bottom style="thin">
        <color indexed="64"/>
      </bottom>
      <diagonal/>
    </border>
    <border>
      <left style="hair">
        <color indexed="8"/>
      </left>
      <right/>
      <top/>
      <bottom style="thin">
        <color indexed="64"/>
      </bottom>
      <diagonal/>
    </border>
    <border>
      <left style="hair">
        <color indexed="64"/>
      </left>
      <right style="thin">
        <color indexed="64"/>
      </right>
      <top/>
      <bottom style="thin">
        <color indexed="64"/>
      </bottom>
      <diagonal/>
    </border>
    <border>
      <left/>
      <right style="hair">
        <color indexed="8"/>
      </right>
      <top/>
      <bottom style="thin">
        <color indexed="64"/>
      </bottom>
      <diagonal/>
    </border>
    <border>
      <left style="hair">
        <color indexed="8"/>
      </left>
      <right style="hair">
        <color indexed="64"/>
      </right>
      <top/>
      <bottom style="thin">
        <color indexed="64"/>
      </bottom>
      <diagonal/>
    </border>
    <border>
      <left/>
      <right style="thin">
        <color indexed="64"/>
      </right>
      <top/>
      <bottom style="thin">
        <color indexed="64"/>
      </bottom>
      <diagonal/>
    </border>
    <border>
      <left style="thin">
        <color indexed="64"/>
      </left>
      <right style="thin">
        <color indexed="8"/>
      </right>
      <top/>
      <bottom style="hair">
        <color indexed="64"/>
      </bottom>
      <diagonal/>
    </border>
    <border>
      <left style="thin">
        <color indexed="8"/>
      </left>
      <right/>
      <top/>
      <bottom style="hair">
        <color indexed="64"/>
      </bottom>
      <diagonal/>
    </border>
    <border>
      <left style="thin">
        <color indexed="64"/>
      </left>
      <right style="hair">
        <color indexed="8"/>
      </right>
      <top/>
      <bottom style="hair">
        <color indexed="64"/>
      </bottom>
      <diagonal/>
    </border>
    <border>
      <left style="hair">
        <color indexed="8"/>
      </left>
      <right style="hair">
        <color indexed="8"/>
      </right>
      <top/>
      <bottom style="hair">
        <color indexed="64"/>
      </bottom>
      <diagonal/>
    </border>
    <border>
      <left style="hair">
        <color indexed="8"/>
      </left>
      <right style="thin">
        <color indexed="64"/>
      </right>
      <top/>
      <bottom style="hair">
        <color indexed="64"/>
      </bottom>
      <diagonal/>
    </border>
    <border>
      <left style="hair">
        <color indexed="8"/>
      </left>
      <right/>
      <top/>
      <bottom style="hair">
        <color indexed="64"/>
      </bottom>
      <diagonal/>
    </border>
    <border>
      <left style="hair">
        <color indexed="64"/>
      </left>
      <right style="thin">
        <color indexed="64"/>
      </right>
      <top/>
      <bottom style="hair">
        <color indexed="64"/>
      </bottom>
      <diagonal/>
    </border>
    <border>
      <left/>
      <right style="hair">
        <color indexed="8"/>
      </right>
      <top/>
      <bottom style="hair">
        <color indexed="64"/>
      </bottom>
      <diagonal/>
    </border>
    <border>
      <left style="hair">
        <color indexed="8"/>
      </left>
      <right style="hair">
        <color indexed="64"/>
      </right>
      <top/>
      <bottom style="hair">
        <color indexed="64"/>
      </bottom>
      <diagonal/>
    </border>
    <border>
      <left/>
      <right style="thin">
        <color indexed="64"/>
      </right>
      <top/>
      <bottom style="hair">
        <color indexed="64"/>
      </bottom>
      <diagonal/>
    </border>
    <border>
      <left style="thin">
        <color indexed="64"/>
      </left>
      <right style="thin">
        <color indexed="8"/>
      </right>
      <top style="hair">
        <color indexed="64"/>
      </top>
      <bottom style="hair">
        <color indexed="64"/>
      </bottom>
      <diagonal/>
    </border>
    <border>
      <left style="hair">
        <color indexed="8"/>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thin">
        <color indexed="8"/>
      </bottom>
      <diagonal/>
    </border>
    <border>
      <left style="thin">
        <color indexed="64"/>
      </left>
      <right/>
      <top style="thin">
        <color indexed="64"/>
      </top>
      <bottom style="thin">
        <color indexed="8"/>
      </bottom>
      <diagonal/>
    </border>
    <border>
      <left/>
      <right style="thin">
        <color indexed="64"/>
      </right>
      <top style="thin">
        <color indexed="64"/>
      </top>
      <bottom style="thin">
        <color indexed="8"/>
      </bottom>
      <diagonal/>
    </border>
    <border>
      <left style="thin">
        <color indexed="64"/>
      </left>
      <right style="thin">
        <color indexed="64"/>
      </right>
      <top style="thin">
        <color indexed="8"/>
      </top>
      <bottom style="thin">
        <color indexed="64"/>
      </bottom>
      <diagonal/>
    </border>
    <border>
      <left style="thin">
        <color indexed="64"/>
      </left>
      <right style="hair">
        <color indexed="64"/>
      </right>
      <top style="thin">
        <color indexed="8"/>
      </top>
      <bottom style="thin">
        <color indexed="64"/>
      </bottom>
      <diagonal/>
    </border>
    <border>
      <left style="hair">
        <color indexed="64"/>
      </left>
      <right style="hair">
        <color indexed="64"/>
      </right>
      <top style="thin">
        <color indexed="8"/>
      </top>
      <bottom style="thin">
        <color indexed="64"/>
      </bottom>
      <diagonal/>
    </border>
    <border>
      <left/>
      <right style="thin">
        <color indexed="64"/>
      </right>
      <top style="thin">
        <color indexed="8"/>
      </top>
      <bottom style="thin">
        <color indexed="64"/>
      </bottom>
      <diagonal/>
    </border>
    <border>
      <left style="hair">
        <color indexed="64"/>
      </left>
      <right style="thin">
        <color indexed="64"/>
      </right>
      <top style="thin">
        <color indexed="8"/>
      </top>
      <bottom style="thin">
        <color indexed="64"/>
      </bottom>
      <diagonal/>
    </border>
    <border>
      <left style="hair">
        <color indexed="64"/>
      </left>
      <right/>
      <top style="thin">
        <color indexed="8"/>
      </top>
      <bottom style="thin">
        <color indexed="64"/>
      </bottom>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thin">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double">
        <color indexed="64"/>
      </bottom>
      <diagonal/>
    </border>
    <border>
      <left style="thin">
        <color indexed="64"/>
      </left>
      <right style="hair">
        <color indexed="64"/>
      </right>
      <top style="hair">
        <color indexed="64"/>
      </top>
      <bottom style="double">
        <color indexed="64"/>
      </bottom>
      <diagonal/>
    </border>
    <border>
      <left style="hair">
        <color indexed="64"/>
      </left>
      <right style="hair">
        <color indexed="64"/>
      </right>
      <top style="hair">
        <color indexed="64"/>
      </top>
      <bottom style="double">
        <color indexed="64"/>
      </bottom>
      <diagonal/>
    </border>
    <border>
      <left style="hair">
        <color indexed="64"/>
      </left>
      <right style="thin">
        <color indexed="64"/>
      </right>
      <top style="hair">
        <color indexed="64"/>
      </top>
      <bottom style="double">
        <color indexed="64"/>
      </bottom>
      <diagonal/>
    </border>
    <border>
      <left style="hair">
        <color indexed="64"/>
      </left>
      <right/>
      <top style="hair">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hair">
        <color indexed="64"/>
      </right>
      <top style="double">
        <color indexed="64"/>
      </top>
      <bottom style="thin">
        <color indexed="64"/>
      </bottom>
      <diagonal/>
    </border>
    <border>
      <left style="hair">
        <color indexed="64"/>
      </left>
      <right style="hair">
        <color indexed="64"/>
      </right>
      <top style="double">
        <color indexed="64"/>
      </top>
      <bottom style="thin">
        <color indexed="64"/>
      </bottom>
      <diagonal/>
    </border>
    <border>
      <left/>
      <right style="thin">
        <color indexed="64"/>
      </right>
      <top style="double">
        <color indexed="64"/>
      </top>
      <bottom style="thin">
        <color indexed="64"/>
      </bottom>
      <diagonal/>
    </border>
    <border>
      <left style="hair">
        <color indexed="64"/>
      </left>
      <right style="thin">
        <color indexed="64"/>
      </right>
      <top style="double">
        <color indexed="64"/>
      </top>
      <bottom style="thin">
        <color indexed="64"/>
      </bottom>
      <diagonal/>
    </border>
    <border>
      <left style="hair">
        <color indexed="64"/>
      </left>
      <right/>
      <top style="double">
        <color indexed="64"/>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diagonal/>
    </border>
    <border>
      <left/>
      <right style="hair">
        <color indexed="64"/>
      </right>
      <top/>
      <bottom/>
      <diagonal/>
    </border>
    <border>
      <left/>
      <right style="hair">
        <color indexed="64"/>
      </right>
      <top/>
      <bottom style="thin">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right style="thin">
        <color indexed="64"/>
      </right>
      <top/>
      <bottom style="dotted">
        <color indexed="64"/>
      </bottom>
      <diagonal/>
    </border>
    <border>
      <left style="thin">
        <color indexed="64"/>
      </left>
      <right style="thin">
        <color indexed="64"/>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diagonal/>
    </border>
    <border>
      <left/>
      <right/>
      <top style="dotted">
        <color indexed="64"/>
      </top>
      <bottom/>
      <diagonal/>
    </border>
    <border>
      <left style="thin">
        <color indexed="64"/>
      </left>
      <right/>
      <top style="dotted">
        <color indexed="64"/>
      </top>
      <bottom style="dashed">
        <color indexed="64"/>
      </bottom>
      <diagonal/>
    </border>
    <border>
      <left style="thin">
        <color indexed="64"/>
      </left>
      <right style="thin">
        <color indexed="64"/>
      </right>
      <top style="dotted">
        <color indexed="64"/>
      </top>
      <bottom style="dashed">
        <color indexed="64"/>
      </bottom>
      <diagonal/>
    </border>
    <border>
      <left/>
      <right/>
      <top style="thin">
        <color indexed="64"/>
      </top>
      <bottom style="dotted">
        <color indexed="64"/>
      </bottom>
      <diagonal/>
    </border>
    <border>
      <left style="thin">
        <color indexed="64"/>
      </left>
      <right style="thin">
        <color indexed="64"/>
      </right>
      <top style="thin">
        <color indexed="64"/>
      </top>
      <bottom style="dashed">
        <color indexed="64"/>
      </bottom>
      <diagonal/>
    </border>
    <border>
      <left/>
      <right/>
      <top style="dotted">
        <color indexed="64"/>
      </top>
      <bottom style="thin">
        <color indexed="64"/>
      </bottom>
      <diagonal/>
    </border>
    <border>
      <left style="thin">
        <color indexed="8"/>
      </left>
      <right/>
      <top style="thin">
        <color indexed="8"/>
      </top>
      <bottom/>
      <diagonal/>
    </border>
    <border>
      <left style="thin">
        <color indexed="64"/>
      </left>
      <right style="thin">
        <color indexed="8"/>
      </right>
      <top style="thin">
        <color indexed="8"/>
      </top>
      <bottom/>
      <diagonal/>
    </border>
    <border>
      <left/>
      <right/>
      <top style="thin">
        <color indexed="64"/>
      </top>
      <bottom style="thin">
        <color indexed="8"/>
      </bottom>
      <diagonal/>
    </border>
    <border>
      <left style="thin">
        <color indexed="8"/>
      </left>
      <right/>
      <top/>
      <bottom/>
      <diagonal/>
    </border>
    <border>
      <left style="thin">
        <color indexed="64"/>
      </left>
      <right style="hair">
        <color indexed="8"/>
      </right>
      <top style="thin">
        <color indexed="64"/>
      </top>
      <bottom style="thin">
        <color indexed="8"/>
      </bottom>
      <diagonal/>
    </border>
    <border>
      <left style="hair">
        <color indexed="8"/>
      </left>
      <right style="hair">
        <color indexed="8"/>
      </right>
      <top style="thin">
        <color indexed="64"/>
      </top>
      <bottom style="thin">
        <color indexed="8"/>
      </bottom>
      <diagonal/>
    </border>
    <border>
      <left style="hair">
        <color indexed="8"/>
      </left>
      <right style="thin">
        <color indexed="64"/>
      </right>
      <top style="thin">
        <color indexed="64"/>
      </top>
      <bottom style="thin">
        <color indexed="8"/>
      </bottom>
      <diagonal/>
    </border>
    <border>
      <left style="thin">
        <color indexed="64"/>
      </left>
      <right style="thin">
        <color indexed="8"/>
      </right>
      <top/>
      <bottom/>
      <diagonal/>
    </border>
    <border>
      <left style="thin">
        <color indexed="64"/>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style="thin">
        <color indexed="64"/>
      </right>
      <top style="thin">
        <color indexed="8"/>
      </top>
      <bottom style="thin">
        <color indexed="8"/>
      </bottom>
      <diagonal/>
    </border>
    <border>
      <left style="hair">
        <color indexed="8"/>
      </left>
      <right style="hair">
        <color indexed="8"/>
      </right>
      <top/>
      <bottom/>
      <diagonal/>
    </border>
    <border>
      <left style="hair">
        <color indexed="8"/>
      </left>
      <right style="thin">
        <color indexed="64"/>
      </right>
      <top/>
      <bottom/>
      <diagonal/>
    </border>
    <border>
      <left style="thin">
        <color indexed="64"/>
      </left>
      <right style="hair">
        <color indexed="8"/>
      </right>
      <top style="thin">
        <color indexed="8"/>
      </top>
      <bottom/>
      <diagonal/>
    </border>
    <border>
      <left style="hair">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64"/>
      </right>
      <top style="thin">
        <color indexed="8"/>
      </top>
      <bottom/>
      <diagonal/>
    </border>
    <border>
      <left style="hair">
        <color indexed="8"/>
      </left>
      <right style="thin">
        <color indexed="8"/>
      </right>
      <top/>
      <bottom style="thin">
        <color indexed="64"/>
      </bottom>
      <diagonal/>
    </border>
    <border>
      <left style="thin">
        <color indexed="8"/>
      </left>
      <right style="hair">
        <color indexed="8"/>
      </right>
      <top/>
      <bottom style="thin">
        <color indexed="64"/>
      </bottom>
      <diagonal/>
    </border>
    <border>
      <left style="thin">
        <color indexed="64"/>
      </left>
      <right style="thin">
        <color indexed="8"/>
      </right>
      <top/>
      <bottom style="hair">
        <color indexed="8"/>
      </bottom>
      <diagonal/>
    </border>
    <border>
      <left style="hair">
        <color indexed="8"/>
      </left>
      <right style="thin">
        <color indexed="8"/>
      </right>
      <top/>
      <bottom style="hair">
        <color indexed="8"/>
      </bottom>
      <diagonal/>
    </border>
    <border>
      <left style="thin">
        <color indexed="8"/>
      </left>
      <right style="hair">
        <color indexed="8"/>
      </right>
      <top/>
      <bottom style="hair">
        <color indexed="8"/>
      </bottom>
      <diagonal/>
    </border>
    <border>
      <left style="thin">
        <color indexed="64"/>
      </left>
      <right style="thin">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style="hair">
        <color indexed="8"/>
      </bottom>
      <diagonal/>
    </border>
    <border>
      <left style="thin">
        <color indexed="64"/>
      </left>
      <right style="thin">
        <color indexed="8"/>
      </right>
      <top style="hair">
        <color indexed="8"/>
      </top>
      <bottom style="thin">
        <color indexed="64"/>
      </bottom>
      <diagonal/>
    </border>
    <border>
      <left style="hair">
        <color indexed="8"/>
      </left>
      <right style="thin">
        <color indexed="8"/>
      </right>
      <top style="hair">
        <color indexed="8"/>
      </top>
      <bottom style="thin">
        <color indexed="64"/>
      </bottom>
      <diagonal/>
    </border>
    <border>
      <left style="thin">
        <color indexed="8"/>
      </left>
      <right style="hair">
        <color indexed="8"/>
      </right>
      <top style="hair">
        <color indexed="8"/>
      </top>
      <bottom style="thin">
        <color indexed="64"/>
      </bottom>
      <diagonal/>
    </border>
    <border>
      <left style="thin">
        <color indexed="8"/>
      </left>
      <right/>
      <top style="hair">
        <color indexed="8"/>
      </top>
      <bottom style="thin">
        <color indexed="8"/>
      </bottom>
      <diagonal/>
    </border>
    <border>
      <left style="thin">
        <color indexed="64"/>
      </left>
      <right style="hair">
        <color indexed="8"/>
      </right>
      <top style="hair">
        <color indexed="8"/>
      </top>
      <bottom style="thin">
        <color indexed="8"/>
      </bottom>
      <diagonal/>
    </border>
    <border>
      <left style="hair">
        <color indexed="8"/>
      </left>
      <right style="hair">
        <color indexed="8"/>
      </right>
      <top style="hair">
        <color indexed="8"/>
      </top>
      <bottom style="thin">
        <color indexed="8"/>
      </bottom>
      <diagonal/>
    </border>
    <border>
      <left style="hair">
        <color indexed="8"/>
      </left>
      <right style="thin">
        <color indexed="64"/>
      </right>
      <top style="hair">
        <color indexed="8"/>
      </top>
      <bottom style="thin">
        <color indexed="8"/>
      </bottom>
      <diagonal/>
    </border>
    <border>
      <left style="thin">
        <color indexed="64"/>
      </left>
      <right style="hair">
        <color indexed="64"/>
      </right>
      <top style="hair">
        <color indexed="8"/>
      </top>
      <bottom style="thin">
        <color indexed="8"/>
      </bottom>
      <diagonal/>
    </border>
    <border>
      <left/>
      <right style="hair">
        <color indexed="8"/>
      </right>
      <top style="hair">
        <color indexed="8"/>
      </top>
      <bottom style="thin">
        <color indexed="8"/>
      </bottom>
      <diagonal/>
    </border>
    <border>
      <left style="thin">
        <color indexed="64"/>
      </left>
      <right style="thin">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thin">
        <color indexed="64"/>
      </left>
      <right style="hair">
        <color indexed="64"/>
      </right>
      <top style="thin">
        <color indexed="8"/>
      </top>
      <bottom/>
      <diagonal/>
    </border>
    <border>
      <left/>
      <right style="hair">
        <color indexed="8"/>
      </right>
      <top/>
      <bottom/>
      <diagonal/>
    </border>
    <border>
      <left style="hair">
        <color indexed="8"/>
      </left>
      <right style="thin">
        <color indexed="8"/>
      </right>
      <top/>
      <bottom/>
      <diagonal/>
    </border>
    <border>
      <left style="thin">
        <color indexed="8"/>
      </left>
      <right style="hair">
        <color indexed="8"/>
      </right>
      <top/>
      <bottom/>
      <diagonal/>
    </border>
    <border>
      <left style="thin">
        <color indexed="64"/>
      </left>
      <right style="hair">
        <color indexed="64"/>
      </right>
      <top style="hair">
        <color indexed="8"/>
      </top>
      <bottom style="hair">
        <color indexed="8"/>
      </bottom>
      <diagonal/>
    </border>
    <border>
      <left style="thin">
        <color indexed="64"/>
      </left>
      <right style="thin">
        <color indexed="8"/>
      </right>
      <top style="hair">
        <color indexed="8"/>
      </top>
      <bottom/>
      <diagonal/>
    </border>
    <border>
      <left style="hair">
        <color indexed="8"/>
      </left>
      <right style="thin">
        <color indexed="8"/>
      </right>
      <top style="hair">
        <color indexed="8"/>
      </top>
      <bottom/>
      <diagonal/>
    </border>
    <border>
      <left style="thin">
        <color indexed="8"/>
      </left>
      <right style="hair">
        <color indexed="8"/>
      </right>
      <top style="hair">
        <color indexed="8"/>
      </top>
      <bottom/>
      <diagonal/>
    </border>
    <border>
      <left style="thin">
        <color indexed="8"/>
      </left>
      <right/>
      <top style="hair">
        <color indexed="8"/>
      </top>
      <bottom style="hair">
        <color indexed="64"/>
      </bottom>
      <diagonal/>
    </border>
    <border>
      <left style="hair">
        <color indexed="8"/>
      </left>
      <right/>
      <top style="hair">
        <color indexed="8"/>
      </top>
      <bottom/>
      <diagonal/>
    </border>
    <border>
      <left style="hair">
        <color indexed="64"/>
      </left>
      <right style="hair">
        <color indexed="8"/>
      </right>
      <top style="hair">
        <color indexed="8"/>
      </top>
      <bottom style="hair">
        <color indexed="64"/>
      </bottom>
      <diagonal/>
    </border>
    <border>
      <left style="thin">
        <color indexed="64"/>
      </left>
      <right style="thin">
        <color indexed="8"/>
      </right>
      <top style="hair">
        <color indexed="8"/>
      </top>
      <bottom style="hair">
        <color indexed="64"/>
      </bottom>
      <diagonal/>
    </border>
    <border>
      <left style="hair">
        <color indexed="8"/>
      </left>
      <right style="thin">
        <color indexed="8"/>
      </right>
      <top style="hair">
        <color indexed="8"/>
      </top>
      <bottom style="hair">
        <color indexed="64"/>
      </bottom>
      <diagonal/>
    </border>
    <border>
      <left style="thin">
        <color indexed="8"/>
      </left>
      <right style="hair">
        <color indexed="8"/>
      </right>
      <top style="hair">
        <color indexed="8"/>
      </top>
      <bottom style="hair">
        <color indexed="64"/>
      </bottom>
      <diagonal/>
    </border>
    <border>
      <left style="hair">
        <color indexed="64"/>
      </left>
      <right style="hair">
        <color indexed="8"/>
      </right>
      <top style="hair">
        <color indexed="64"/>
      </top>
      <bottom style="hair">
        <color indexed="64"/>
      </bottom>
      <diagonal/>
    </border>
    <border>
      <left style="hair">
        <color indexed="8"/>
      </left>
      <right style="thin">
        <color indexed="8"/>
      </right>
      <top style="hair">
        <color indexed="64"/>
      </top>
      <bottom style="hair">
        <color indexed="64"/>
      </bottom>
      <diagonal/>
    </border>
    <border>
      <left style="thin">
        <color indexed="8"/>
      </left>
      <right style="hair">
        <color indexed="8"/>
      </right>
      <top style="hair">
        <color indexed="64"/>
      </top>
      <bottom style="hair">
        <color indexed="64"/>
      </bottom>
      <diagonal/>
    </border>
    <border>
      <left style="thin">
        <color indexed="8"/>
      </left>
      <right/>
      <top style="hair">
        <color indexed="64"/>
      </top>
      <bottom style="thin">
        <color indexed="64"/>
      </bottom>
      <diagonal/>
    </border>
    <border>
      <left style="thin">
        <color indexed="64"/>
      </left>
      <right style="hair">
        <color indexed="8"/>
      </right>
      <top/>
      <bottom style="thin">
        <color indexed="8"/>
      </bottom>
      <diagonal/>
    </border>
    <border>
      <left style="hair">
        <color indexed="8"/>
      </left>
      <right style="hair">
        <color indexed="8"/>
      </right>
      <top/>
      <bottom style="thin">
        <color indexed="8"/>
      </bottom>
      <diagonal/>
    </border>
    <border>
      <left style="hair">
        <color indexed="8"/>
      </left>
      <right style="thin">
        <color indexed="64"/>
      </right>
      <top/>
      <bottom style="thin">
        <color indexed="8"/>
      </bottom>
      <diagonal/>
    </border>
    <border>
      <left/>
      <right/>
      <top/>
      <bottom style="thin">
        <color indexed="8"/>
      </bottom>
      <diagonal/>
    </border>
    <border>
      <left style="hair">
        <color indexed="64"/>
      </left>
      <right style="hair">
        <color indexed="8"/>
      </right>
      <top/>
      <bottom style="thin">
        <color indexed="8"/>
      </bottom>
      <diagonal/>
    </border>
    <border>
      <left style="thin">
        <color indexed="64"/>
      </left>
      <right style="thin">
        <color indexed="8"/>
      </right>
      <top style="hair">
        <color indexed="64"/>
      </top>
      <bottom style="thin">
        <color indexed="64"/>
      </bottom>
      <diagonal/>
    </border>
    <border>
      <left style="hair">
        <color indexed="8"/>
      </left>
      <right style="thin">
        <color indexed="8"/>
      </right>
      <top/>
      <bottom style="thin">
        <color indexed="8"/>
      </bottom>
      <diagonal/>
    </border>
    <border>
      <left style="thin">
        <color indexed="8"/>
      </left>
      <right style="hair">
        <color indexed="8"/>
      </right>
      <top/>
      <bottom style="thin">
        <color indexed="8"/>
      </bottom>
      <diagonal/>
    </border>
    <border>
      <left style="thin">
        <color indexed="8"/>
      </left>
      <right/>
      <top style="thin">
        <color indexed="64"/>
      </top>
      <bottom style="hair">
        <color indexed="64"/>
      </bottom>
      <diagonal/>
    </border>
    <border>
      <left style="thin">
        <color indexed="64"/>
      </left>
      <right style="hair">
        <color indexed="8"/>
      </right>
      <top style="thin">
        <color indexed="8"/>
      </top>
      <bottom style="hair">
        <color indexed="64"/>
      </bottom>
      <diagonal/>
    </border>
    <border>
      <left style="hair">
        <color indexed="8"/>
      </left>
      <right style="hair">
        <color indexed="8"/>
      </right>
      <top style="thin">
        <color indexed="8"/>
      </top>
      <bottom style="hair">
        <color indexed="64"/>
      </bottom>
      <diagonal/>
    </border>
    <border>
      <left style="hair">
        <color indexed="8"/>
      </left>
      <right style="thin">
        <color indexed="64"/>
      </right>
      <top style="thin">
        <color indexed="8"/>
      </top>
      <bottom style="hair">
        <color indexed="64"/>
      </bottom>
      <diagonal/>
    </border>
    <border>
      <left style="thin">
        <color indexed="64"/>
      </left>
      <right/>
      <top style="thin">
        <color indexed="8"/>
      </top>
      <bottom style="hair">
        <color indexed="64"/>
      </bottom>
      <diagonal/>
    </border>
    <border>
      <left style="hair">
        <color indexed="64"/>
      </left>
      <right style="thin">
        <color indexed="64"/>
      </right>
      <top style="thin">
        <color indexed="8"/>
      </top>
      <bottom/>
      <diagonal/>
    </border>
    <border>
      <left style="hair">
        <color indexed="64"/>
      </left>
      <right style="hair">
        <color indexed="8"/>
      </right>
      <top/>
      <bottom/>
      <diagonal/>
    </border>
    <border>
      <left style="thin">
        <color indexed="64"/>
      </left>
      <right style="thin">
        <color indexed="8"/>
      </right>
      <top style="thin">
        <color indexed="64"/>
      </top>
      <bottom style="hair">
        <color indexed="64"/>
      </bottom>
      <diagonal/>
    </border>
    <border>
      <left style="hair">
        <color indexed="8"/>
      </left>
      <right style="thin">
        <color indexed="8"/>
      </right>
      <top style="thin">
        <color indexed="8"/>
      </top>
      <bottom style="hair">
        <color indexed="64"/>
      </bottom>
      <diagonal/>
    </border>
    <border>
      <left style="thin">
        <color indexed="8"/>
      </left>
      <right style="hair">
        <color indexed="8"/>
      </right>
      <top style="thin">
        <color indexed="8"/>
      </top>
      <bottom style="hair">
        <color indexed="64"/>
      </bottom>
      <diagonal/>
    </border>
    <border>
      <left style="hair">
        <color indexed="8"/>
      </left>
      <right/>
      <top/>
      <bottom/>
      <diagonal/>
    </border>
    <border>
      <left style="hair">
        <color indexed="64"/>
      </left>
      <right style="thin">
        <color indexed="64"/>
      </right>
      <top style="thin">
        <color indexed="8"/>
      </top>
      <bottom style="hair">
        <color indexed="64"/>
      </bottom>
      <diagonal/>
    </border>
    <border>
      <left style="hair">
        <color indexed="8"/>
      </left>
      <right style="thin">
        <color indexed="64"/>
      </right>
      <top style="hair">
        <color indexed="64"/>
      </top>
      <bottom/>
      <diagonal/>
    </border>
    <border>
      <left style="hair">
        <color indexed="8"/>
      </left>
      <right style="thin">
        <color indexed="8"/>
      </right>
      <top/>
      <bottom style="hair">
        <color indexed="64"/>
      </bottom>
      <diagonal/>
    </border>
    <border>
      <left style="thin">
        <color indexed="8"/>
      </left>
      <right style="hair">
        <color indexed="8"/>
      </right>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hair">
        <color indexed="64"/>
      </top>
      <bottom/>
      <diagonal/>
    </border>
    <border>
      <left style="thin">
        <color indexed="64"/>
      </left>
      <right style="thin">
        <color indexed="64"/>
      </right>
      <top style="hair">
        <color indexed="64"/>
      </top>
      <bottom/>
      <diagonal/>
    </border>
    <border>
      <left/>
      <right/>
      <top style="thin">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double">
        <color indexed="64"/>
      </bottom>
      <diagonal/>
    </border>
    <border>
      <left/>
      <right/>
      <top style="hair">
        <color indexed="64"/>
      </top>
      <bottom style="double">
        <color indexed="64"/>
      </bottom>
      <diagonal/>
    </border>
    <border>
      <left style="thin">
        <color indexed="64"/>
      </left>
      <right/>
      <top style="double">
        <color indexed="64"/>
      </top>
      <bottom style="hair">
        <color indexed="64"/>
      </bottom>
      <diagonal/>
    </border>
    <border>
      <left/>
      <right style="thin">
        <color indexed="64"/>
      </right>
      <top style="double">
        <color indexed="64"/>
      </top>
      <bottom style="hair">
        <color indexed="64"/>
      </bottom>
      <diagonal/>
    </border>
    <border>
      <left/>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style="hair">
        <color indexed="64"/>
      </left>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right/>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double">
        <color indexed="64"/>
      </bottom>
      <diagonal/>
    </border>
    <border>
      <left style="medium">
        <color indexed="64"/>
      </left>
      <right style="thin">
        <color indexed="64"/>
      </right>
      <top style="hair">
        <color indexed="64"/>
      </top>
      <bottom style="double">
        <color indexed="64"/>
      </bottom>
      <diagonal/>
    </border>
    <border>
      <left style="thin">
        <color indexed="64"/>
      </left>
      <right style="medium">
        <color indexed="64"/>
      </right>
      <top style="double">
        <color indexed="64"/>
      </top>
      <bottom style="hair">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style="medium">
        <color indexed="64"/>
      </left>
      <right style="thin">
        <color indexed="64"/>
      </right>
      <top style="hair">
        <color indexed="64"/>
      </top>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right style="thin">
        <color indexed="64"/>
      </right>
      <top/>
      <bottom style="double">
        <color indexed="64"/>
      </bottom>
      <diagonal/>
    </border>
    <border>
      <left/>
      <right style="thin">
        <color indexed="64"/>
      </right>
      <top style="hair">
        <color indexed="64"/>
      </top>
      <bottom/>
      <diagonal/>
    </border>
    <border>
      <left style="thin">
        <color indexed="64"/>
      </left>
      <right/>
      <top style="hair">
        <color indexed="64"/>
      </top>
      <bottom/>
      <diagonal/>
    </border>
    <border>
      <left style="thin">
        <color indexed="64"/>
      </left>
      <right style="thin">
        <color indexed="64"/>
      </right>
      <top style="thin">
        <color indexed="64"/>
      </top>
      <bottom style="double">
        <color indexed="64"/>
      </bottom>
      <diagonal/>
    </border>
    <border>
      <left style="hair">
        <color indexed="64"/>
      </left>
      <right style="thin">
        <color indexed="64"/>
      </right>
      <top style="hair">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right style="thin">
        <color indexed="64"/>
      </right>
      <top style="double">
        <color indexed="64"/>
      </top>
      <bottom/>
      <diagonal/>
    </border>
    <border>
      <left style="medium">
        <color indexed="64"/>
      </left>
      <right style="thin">
        <color indexed="64"/>
      </right>
      <top style="double">
        <color indexed="64"/>
      </top>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style="double">
        <color indexed="64"/>
      </top>
      <bottom style="thin">
        <color indexed="64"/>
      </bottom>
      <diagonal/>
    </border>
    <border>
      <left style="medium">
        <color indexed="64"/>
      </left>
      <right style="medium">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double">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diagonal/>
    </border>
    <border>
      <left/>
      <right style="medium">
        <color indexed="64"/>
      </right>
      <top/>
      <bottom style="double">
        <color indexed="64"/>
      </bottom>
      <diagonal/>
    </border>
    <border>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style="medium">
        <color indexed="64"/>
      </right>
      <top style="thin">
        <color indexed="64"/>
      </top>
      <bottom style="thin">
        <color indexed="64"/>
      </bottom>
      <diagonal/>
    </border>
    <border>
      <left/>
      <right style="medium">
        <color indexed="64"/>
      </right>
      <top style="double">
        <color indexed="64"/>
      </top>
      <bottom style="thin">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style="dotted">
        <color indexed="64"/>
      </top>
      <bottom style="medium">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left style="thin">
        <color indexed="64"/>
      </left>
      <right style="medium">
        <color indexed="64"/>
      </right>
      <top/>
      <bottom/>
      <diagonal/>
    </border>
    <border diagonalUp="1">
      <left style="thin">
        <color indexed="64"/>
      </left>
      <right style="thin">
        <color indexed="64"/>
      </right>
      <top/>
      <bottom style="thin">
        <color indexed="64"/>
      </bottom>
      <diagonal style="thin">
        <color indexed="64"/>
      </diagonal>
    </border>
    <border>
      <left style="hair">
        <color indexed="64"/>
      </left>
      <right/>
      <top style="thin">
        <color indexed="64"/>
      </top>
      <bottom style="hair">
        <color indexed="64"/>
      </bottom>
      <diagonal/>
    </border>
    <border>
      <left style="thin">
        <color indexed="64"/>
      </left>
      <right/>
      <top style="dotted">
        <color indexed="64"/>
      </top>
      <bottom style="medium">
        <color indexed="64"/>
      </bottom>
      <diagonal/>
    </border>
  </borders>
  <cellStyleXfs count="67">
    <xf numFmtId="0" fontId="0" fillId="0" borderId="0">
      <alignment vertical="center"/>
    </xf>
    <xf numFmtId="38" fontId="5" fillId="0" borderId="0" applyFont="0" applyFill="0" applyBorder="0" applyAlignment="0" applyProtection="0">
      <alignment vertical="center"/>
    </xf>
    <xf numFmtId="38" fontId="5" fillId="0" borderId="0" applyFont="0" applyFill="0" applyBorder="0" applyAlignment="0" applyProtection="0">
      <alignment vertical="center"/>
    </xf>
    <xf numFmtId="9" fontId="5" fillId="0" borderId="0" applyFont="0" applyFill="0" applyBorder="0" applyAlignment="0" applyProtection="0">
      <alignment vertical="center"/>
    </xf>
    <xf numFmtId="0" fontId="5" fillId="0" borderId="0"/>
    <xf numFmtId="0" fontId="24" fillId="0" borderId="0"/>
    <xf numFmtId="38" fontId="24" fillId="0" borderId="0" applyFont="0" applyFill="0" applyBorder="0" applyAlignment="0" applyProtection="0"/>
    <xf numFmtId="0" fontId="5" fillId="0" borderId="0"/>
    <xf numFmtId="38" fontId="33" fillId="0" borderId="0" applyFont="0" applyFill="0" applyBorder="0" applyAlignment="0" applyProtection="0"/>
    <xf numFmtId="0" fontId="5" fillId="0" borderId="0"/>
    <xf numFmtId="0" fontId="36" fillId="0" borderId="0"/>
    <xf numFmtId="38" fontId="36" fillId="0" borderId="0" applyFont="0" applyFill="0" applyBorder="0" applyAlignment="0" applyProtection="0"/>
    <xf numFmtId="0" fontId="5" fillId="0" borderId="0"/>
    <xf numFmtId="0" fontId="5" fillId="0" borderId="0">
      <alignment vertical="center"/>
    </xf>
    <xf numFmtId="38" fontId="4" fillId="0" borderId="0" applyFont="0" applyFill="0" applyBorder="0" applyAlignment="0" applyProtection="0">
      <alignment vertical="center"/>
    </xf>
    <xf numFmtId="0" fontId="4" fillId="0" borderId="0">
      <alignment vertical="center"/>
    </xf>
    <xf numFmtId="0" fontId="5" fillId="0" borderId="0">
      <alignment vertical="center"/>
    </xf>
    <xf numFmtId="38" fontId="50" fillId="0" borderId="0" applyFont="0" applyFill="0" applyBorder="0" applyAlignment="0" applyProtection="0">
      <alignment vertical="center"/>
    </xf>
    <xf numFmtId="9" fontId="4" fillId="0" borderId="0" applyFont="0" applyFill="0" applyBorder="0" applyAlignment="0" applyProtection="0">
      <alignment vertical="center"/>
    </xf>
    <xf numFmtId="0" fontId="5" fillId="0" borderId="0"/>
    <xf numFmtId="38" fontId="5" fillId="0" borderId="0" applyFont="0" applyFill="0" applyBorder="0" applyAlignment="0" applyProtection="0"/>
    <xf numFmtId="38" fontId="5" fillId="0" borderId="0" applyFont="0" applyFill="0" applyBorder="0" applyAlignment="0" applyProtection="0"/>
    <xf numFmtId="38"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2"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38" fontId="3" fillId="0" borderId="0" applyFont="0" applyFill="0" applyBorder="0" applyAlignment="0" applyProtection="0">
      <alignment vertical="center"/>
    </xf>
    <xf numFmtId="0" fontId="3" fillId="0" borderId="0">
      <alignment vertical="center"/>
    </xf>
    <xf numFmtId="9" fontId="2" fillId="0" borderId="0" applyFont="0" applyFill="0" applyBorder="0" applyAlignment="0" applyProtection="0">
      <alignment vertical="center"/>
    </xf>
    <xf numFmtId="0" fontId="2" fillId="0" borderId="0">
      <alignment vertical="center"/>
    </xf>
    <xf numFmtId="0" fontId="5" fillId="0" borderId="0"/>
    <xf numFmtId="0" fontId="5" fillId="0" borderId="0"/>
    <xf numFmtId="0" fontId="5" fillId="0" borderId="0"/>
    <xf numFmtId="0" fontId="5" fillId="0" borderId="0"/>
    <xf numFmtId="38" fontId="1" fillId="0" borderId="0" applyFont="0" applyFill="0" applyBorder="0" applyAlignment="0" applyProtection="0">
      <alignment vertical="center"/>
    </xf>
    <xf numFmtId="0" fontId="1" fillId="0" borderId="0">
      <alignment vertical="center"/>
    </xf>
    <xf numFmtId="9" fontId="1" fillId="0" borderId="0" applyFont="0" applyFill="0" applyBorder="0" applyAlignment="0" applyProtection="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cellStyleXfs>
  <cellXfs count="2827">
    <xf numFmtId="0" fontId="0" fillId="0" borderId="0" xfId="0">
      <alignment vertical="center"/>
    </xf>
    <xf numFmtId="0" fontId="7" fillId="0" borderId="0" xfId="0" applyFont="1">
      <alignment vertical="center"/>
    </xf>
    <xf numFmtId="0" fontId="8" fillId="0" borderId="0" xfId="0" applyFont="1">
      <alignment vertical="center"/>
    </xf>
    <xf numFmtId="0" fontId="9" fillId="0" borderId="0" xfId="0" applyFont="1">
      <alignment vertical="center"/>
    </xf>
    <xf numFmtId="0" fontId="12" fillId="0" borderId="0" xfId="0" applyFont="1">
      <alignment vertical="center"/>
    </xf>
    <xf numFmtId="0" fontId="13" fillId="0" borderId="0" xfId="0" applyFont="1">
      <alignment vertical="center"/>
    </xf>
    <xf numFmtId="0" fontId="7" fillId="0" borderId="0" xfId="0" applyFont="1" applyAlignment="1">
      <alignment horizontal="right" vertical="top"/>
    </xf>
    <xf numFmtId="0" fontId="14" fillId="0" borderId="0" xfId="0" applyFont="1">
      <alignment vertical="center"/>
    </xf>
    <xf numFmtId="0" fontId="7" fillId="0" borderId="0" xfId="0" applyFont="1" applyAlignment="1">
      <alignment vertical="top"/>
    </xf>
    <xf numFmtId="0" fontId="7" fillId="0" borderId="0" xfId="0" applyFont="1" applyAlignment="1">
      <alignment horizontal="right" vertical="center"/>
    </xf>
    <xf numFmtId="38" fontId="10" fillId="2" borderId="0" xfId="1" applyFont="1" applyFill="1" applyBorder="1" applyProtection="1">
      <alignment vertical="center"/>
    </xf>
    <xf numFmtId="176" fontId="10" fillId="2" borderId="0" xfId="1" applyNumberFormat="1" applyFont="1" applyFill="1" applyBorder="1" applyProtection="1">
      <alignment vertical="center"/>
    </xf>
    <xf numFmtId="38" fontId="10" fillId="2" borderId="1" xfId="1" applyFont="1" applyFill="1" applyBorder="1" applyAlignment="1" applyProtection="1">
      <alignment vertical="center"/>
    </xf>
    <xf numFmtId="0" fontId="8" fillId="2" borderId="0" xfId="5" applyFont="1" applyFill="1" applyAlignment="1">
      <alignment vertical="center"/>
    </xf>
    <xf numFmtId="0" fontId="7" fillId="0" borderId="0" xfId="5" applyFont="1" applyAlignment="1">
      <alignment vertical="center"/>
    </xf>
    <xf numFmtId="0" fontId="7" fillId="2" borderId="0" xfId="5" applyFont="1" applyFill="1" applyAlignment="1">
      <alignment vertical="center"/>
    </xf>
    <xf numFmtId="0" fontId="8" fillId="0" borderId="0" xfId="5" applyFont="1" applyAlignment="1">
      <alignment vertical="center"/>
    </xf>
    <xf numFmtId="0" fontId="25" fillId="2" borderId="0" xfId="5" applyFont="1" applyFill="1" applyAlignment="1">
      <alignment vertical="center"/>
    </xf>
    <xf numFmtId="0" fontId="25" fillId="0" borderId="0" xfId="5" quotePrefix="1" applyFont="1" applyAlignment="1">
      <alignment vertical="center"/>
    </xf>
    <xf numFmtId="0" fontId="7" fillId="0" borderId="0" xfId="5" quotePrefix="1" applyFont="1" applyAlignment="1">
      <alignment vertical="center"/>
    </xf>
    <xf numFmtId="0" fontId="25" fillId="0" borderId="0" xfId="5" applyFont="1" applyAlignment="1">
      <alignment vertical="center"/>
    </xf>
    <xf numFmtId="0" fontId="26" fillId="0" borderId="0" xfId="5" applyFont="1" applyAlignment="1">
      <alignment vertical="center"/>
    </xf>
    <xf numFmtId="49" fontId="7" fillId="0" borderId="0" xfId="5" applyNumberFormat="1" applyFont="1"/>
    <xf numFmtId="3" fontId="14" fillId="0" borderId="0" xfId="5" applyNumberFormat="1" applyFont="1" applyAlignment="1">
      <alignment vertical="center"/>
    </xf>
    <xf numFmtId="0" fontId="7" fillId="0" borderId="0" xfId="5" applyFont="1"/>
    <xf numFmtId="185" fontId="7" fillId="0" borderId="0" xfId="5" applyNumberFormat="1" applyFont="1"/>
    <xf numFmtId="0" fontId="7" fillId="0" borderId="1" xfId="5" applyFont="1" applyBorder="1"/>
    <xf numFmtId="3" fontId="14" fillId="0" borderId="1" xfId="5" applyNumberFormat="1" applyFont="1" applyBorder="1" applyAlignment="1">
      <alignment horizontal="center" vertical="center"/>
    </xf>
    <xf numFmtId="3" fontId="14" fillId="0" borderId="1" xfId="5" applyNumberFormat="1" applyFont="1" applyBorder="1" applyAlignment="1">
      <alignment vertical="center"/>
    </xf>
    <xf numFmtId="185" fontId="7" fillId="0" borderId="1" xfId="5" applyNumberFormat="1" applyFont="1" applyBorder="1"/>
    <xf numFmtId="186" fontId="7" fillId="0" borderId="1" xfId="5" applyNumberFormat="1" applyFont="1" applyBorder="1"/>
    <xf numFmtId="187" fontId="7" fillId="0" borderId="1" xfId="5" applyNumberFormat="1" applyFont="1" applyBorder="1"/>
    <xf numFmtId="186" fontId="7" fillId="0" borderId="1" xfId="5" applyNumberFormat="1" applyFont="1" applyBorder="1" applyAlignment="1">
      <alignment horizontal="right"/>
    </xf>
    <xf numFmtId="0" fontId="7" fillId="2" borderId="1" xfId="5" applyFont="1" applyFill="1" applyBorder="1" applyAlignment="1">
      <alignment horizontal="right"/>
    </xf>
    <xf numFmtId="3" fontId="14" fillId="2" borderId="1" xfId="5" applyNumberFormat="1" applyFont="1" applyFill="1" applyBorder="1" applyAlignment="1">
      <alignment vertical="center"/>
    </xf>
    <xf numFmtId="185" fontId="14" fillId="2" borderId="1" xfId="6" applyNumberFormat="1" applyFont="1" applyFill="1" applyBorder="1" applyAlignment="1">
      <alignment vertical="center"/>
    </xf>
    <xf numFmtId="185" fontId="14" fillId="2" borderId="1" xfId="5" applyNumberFormat="1" applyFont="1" applyFill="1" applyBorder="1" applyAlignment="1">
      <alignment vertical="center"/>
    </xf>
    <xf numFmtId="187" fontId="7" fillId="2" borderId="1" xfId="5" applyNumberFormat="1" applyFont="1" applyFill="1" applyBorder="1"/>
    <xf numFmtId="0" fontId="7" fillId="0" borderId="1" xfId="5" applyFont="1" applyFill="1" applyBorder="1" applyAlignment="1">
      <alignment horizontal="right"/>
    </xf>
    <xf numFmtId="3" fontId="14" fillId="0" borderId="1" xfId="5" applyNumberFormat="1" applyFont="1" applyFill="1" applyBorder="1" applyAlignment="1">
      <alignment vertical="center"/>
    </xf>
    <xf numFmtId="0" fontId="7" fillId="0" borderId="0" xfId="5" applyFont="1" applyFill="1"/>
    <xf numFmtId="185" fontId="14" fillId="0" borderId="1" xfId="6" applyNumberFormat="1" applyFont="1" applyFill="1" applyBorder="1" applyAlignment="1">
      <alignment vertical="center"/>
    </xf>
    <xf numFmtId="185" fontId="14" fillId="0" borderId="1" xfId="5" applyNumberFormat="1" applyFont="1" applyFill="1" applyBorder="1" applyAlignment="1">
      <alignment vertical="center"/>
    </xf>
    <xf numFmtId="187" fontId="7" fillId="0" borderId="1" xfId="5" applyNumberFormat="1" applyFont="1" applyFill="1" applyBorder="1"/>
    <xf numFmtId="0" fontId="7" fillId="0" borderId="1" xfId="5" applyFont="1" applyFill="1" applyBorder="1" applyAlignment="1">
      <alignment vertical="center"/>
    </xf>
    <xf numFmtId="0" fontId="7" fillId="6" borderId="1" xfId="5" applyFont="1" applyFill="1" applyBorder="1" applyAlignment="1">
      <alignment horizontal="right"/>
    </xf>
    <xf numFmtId="0" fontId="7" fillId="6" borderId="1" xfId="5" applyFont="1" applyFill="1" applyBorder="1" applyAlignment="1">
      <alignment vertical="center"/>
    </xf>
    <xf numFmtId="3" fontId="14" fillId="6" borderId="1" xfId="5" applyNumberFormat="1" applyFont="1" applyFill="1" applyBorder="1" applyAlignment="1">
      <alignment vertical="center"/>
    </xf>
    <xf numFmtId="185" fontId="14" fillId="6" borderId="1" xfId="6" applyNumberFormat="1" applyFont="1" applyFill="1" applyBorder="1" applyAlignment="1">
      <alignment vertical="center"/>
    </xf>
    <xf numFmtId="185" fontId="14" fillId="6" borderId="1" xfId="5" applyNumberFormat="1" applyFont="1" applyFill="1" applyBorder="1" applyAlignment="1">
      <alignment vertical="center"/>
    </xf>
    <xf numFmtId="187" fontId="7" fillId="6" borderId="1" xfId="5" applyNumberFormat="1" applyFont="1" applyFill="1" applyBorder="1"/>
    <xf numFmtId="186" fontId="7" fillId="6" borderId="1" xfId="5" applyNumberFormat="1" applyFont="1" applyFill="1" applyBorder="1" applyAlignment="1">
      <alignment horizontal="right"/>
    </xf>
    <xf numFmtId="38" fontId="7" fillId="6" borderId="1" xfId="6" applyFont="1" applyFill="1" applyBorder="1"/>
    <xf numFmtId="181" fontId="7" fillId="6" borderId="1" xfId="5" applyNumberFormat="1" applyFont="1" applyFill="1" applyBorder="1"/>
    <xf numFmtId="181" fontId="14" fillId="0" borderId="1" xfId="5" applyNumberFormat="1" applyFont="1" applyBorder="1" applyAlignment="1">
      <alignment vertical="center"/>
    </xf>
    <xf numFmtId="177" fontId="7" fillId="0" borderId="0" xfId="5" applyNumberFormat="1" applyFont="1"/>
    <xf numFmtId="3" fontId="14" fillId="0" borderId="61" xfId="5" applyNumberFormat="1" applyFont="1" applyBorder="1" applyAlignment="1">
      <alignment horizontal="center" vertical="center" wrapText="1"/>
    </xf>
    <xf numFmtId="3" fontId="14" fillId="0" borderId="62" xfId="5" applyNumberFormat="1" applyFont="1" applyBorder="1" applyAlignment="1">
      <alignment horizontal="center" vertical="center"/>
    </xf>
    <xf numFmtId="3" fontId="14" fillId="0" borderId="63" xfId="5" applyNumberFormat="1" applyFont="1" applyBorder="1" applyAlignment="1">
      <alignment horizontal="center" vertical="center"/>
    </xf>
    <xf numFmtId="3" fontId="14" fillId="0" borderId="64" xfId="5" applyNumberFormat="1" applyFont="1" applyBorder="1" applyAlignment="1">
      <alignment horizontal="center" vertical="center"/>
    </xf>
    <xf numFmtId="3" fontId="14" fillId="0" borderId="61" xfId="5" applyNumberFormat="1" applyFont="1" applyBorder="1" applyAlignment="1">
      <alignment horizontal="center" vertical="center"/>
    </xf>
    <xf numFmtId="3" fontId="14" fillId="0" borderId="65" xfId="5" applyNumberFormat="1" applyFont="1" applyBorder="1" applyAlignment="1">
      <alignment horizontal="center" vertical="center"/>
    </xf>
    <xf numFmtId="186" fontId="14" fillId="0" borderId="0" xfId="5" applyNumberFormat="1" applyFont="1" applyBorder="1" applyAlignment="1">
      <alignment horizontal="center" vertical="center"/>
    </xf>
    <xf numFmtId="177" fontId="7" fillId="0" borderId="0" xfId="5" applyNumberFormat="1" applyFont="1" applyBorder="1"/>
    <xf numFmtId="3" fontId="14" fillId="0" borderId="0" xfId="5" applyNumberFormat="1" applyFont="1" applyBorder="1" applyAlignment="1">
      <alignment horizontal="center" vertical="center"/>
    </xf>
    <xf numFmtId="177" fontId="7" fillId="0" borderId="0" xfId="5" applyNumberFormat="1" applyFont="1" applyBorder="1" applyAlignment="1"/>
    <xf numFmtId="3" fontId="14" fillId="2" borderId="0" xfId="5" applyNumberFormat="1" applyFont="1" applyFill="1" applyBorder="1" applyAlignment="1">
      <alignment horizontal="center" vertical="center"/>
    </xf>
    <xf numFmtId="177" fontId="14" fillId="2" borderId="0" xfId="5" applyNumberFormat="1" applyFont="1" applyFill="1" applyBorder="1" applyAlignment="1">
      <alignment vertical="center"/>
    </xf>
    <xf numFmtId="185" fontId="14" fillId="2" borderId="0" xfId="5" applyNumberFormat="1" applyFont="1" applyFill="1" applyBorder="1" applyAlignment="1">
      <alignment vertical="center"/>
    </xf>
    <xf numFmtId="185" fontId="7" fillId="2" borderId="0" xfId="5" applyNumberFormat="1" applyFont="1" applyFill="1" applyBorder="1" applyAlignment="1"/>
    <xf numFmtId="3" fontId="14" fillId="0" borderId="0" xfId="5" applyNumberFormat="1" applyFont="1" applyFill="1" applyBorder="1" applyAlignment="1">
      <alignment horizontal="center" vertical="center"/>
    </xf>
    <xf numFmtId="177" fontId="14" fillId="0" borderId="0" xfId="5" applyNumberFormat="1" applyFont="1" applyFill="1" applyBorder="1" applyAlignment="1">
      <alignment vertical="center"/>
    </xf>
    <xf numFmtId="185" fontId="14" fillId="0" borderId="0" xfId="5" applyNumberFormat="1" applyFont="1" applyFill="1" applyBorder="1" applyAlignment="1">
      <alignment vertical="center"/>
    </xf>
    <xf numFmtId="185" fontId="7" fillId="0" borderId="0" xfId="5" applyNumberFormat="1" applyFont="1" applyFill="1" applyBorder="1" applyAlignment="1"/>
    <xf numFmtId="3" fontId="14" fillId="6" borderId="0" xfId="5" applyNumberFormat="1" applyFont="1" applyFill="1" applyAlignment="1">
      <alignment horizontal="center" vertical="center"/>
    </xf>
    <xf numFmtId="3" fontId="14" fillId="6" borderId="0" xfId="5" applyNumberFormat="1" applyFont="1" applyFill="1" applyAlignment="1">
      <alignment vertical="center"/>
    </xf>
    <xf numFmtId="177" fontId="7" fillId="6" borderId="0" xfId="5" applyNumberFormat="1" applyFont="1" applyFill="1"/>
    <xf numFmtId="3" fontId="14" fillId="0" borderId="0" xfId="5" applyNumberFormat="1" applyFont="1" applyAlignment="1">
      <alignment horizontal="center" vertical="center"/>
    </xf>
    <xf numFmtId="0" fontId="7" fillId="0" borderId="0" xfId="5" applyFont="1" applyAlignment="1">
      <alignment horizontal="center"/>
    </xf>
    <xf numFmtId="187" fontId="7" fillId="0" borderId="0" xfId="5" applyNumberFormat="1" applyFont="1" applyAlignment="1">
      <alignment horizontal="center"/>
    </xf>
    <xf numFmtId="187" fontId="7" fillId="0" borderId="0" xfId="5" applyNumberFormat="1" applyFont="1"/>
    <xf numFmtId="38" fontId="7" fillId="0" borderId="0" xfId="6" applyFont="1"/>
    <xf numFmtId="38" fontId="29" fillId="6" borderId="66" xfId="6" applyFont="1" applyFill="1" applyBorder="1"/>
    <xf numFmtId="38" fontId="29" fillId="6" borderId="67" xfId="6" applyFont="1" applyFill="1" applyBorder="1"/>
    <xf numFmtId="38" fontId="29" fillId="6" borderId="68" xfId="6" applyFont="1" applyFill="1" applyBorder="1"/>
    <xf numFmtId="38" fontId="29" fillId="6" borderId="69" xfId="6" applyFont="1" applyFill="1" applyBorder="1"/>
    <xf numFmtId="38" fontId="29" fillId="6" borderId="0" xfId="6" applyFont="1" applyFill="1" applyBorder="1"/>
    <xf numFmtId="38" fontId="29" fillId="6" borderId="70" xfId="6" applyFont="1" applyFill="1" applyBorder="1"/>
    <xf numFmtId="38" fontId="29" fillId="7" borderId="69" xfId="6" applyFont="1" applyFill="1" applyBorder="1"/>
    <xf numFmtId="38" fontId="29" fillId="6" borderId="71" xfId="6" applyFont="1" applyFill="1" applyBorder="1"/>
    <xf numFmtId="38" fontId="29" fillId="6" borderId="72" xfId="6" applyFont="1" applyFill="1" applyBorder="1"/>
    <xf numFmtId="38" fontId="29" fillId="6" borderId="73" xfId="6" applyFont="1" applyFill="1" applyBorder="1"/>
    <xf numFmtId="188" fontId="7" fillId="0" borderId="1" xfId="5" applyNumberFormat="1" applyFont="1" applyBorder="1" applyAlignment="1">
      <alignment vertical="center" wrapText="1"/>
    </xf>
    <xf numFmtId="0" fontId="7" fillId="0" borderId="1" xfId="5" applyFont="1" applyBorder="1" applyAlignment="1"/>
    <xf numFmtId="0" fontId="26" fillId="0" borderId="1" xfId="5" applyFont="1" applyBorder="1"/>
    <xf numFmtId="187" fontId="7" fillId="2" borderId="1" xfId="5" applyNumberFormat="1" applyFont="1" applyFill="1" applyBorder="1" applyAlignment="1"/>
    <xf numFmtId="0" fontId="7" fillId="0" borderId="0" xfId="5" applyFont="1" applyAlignment="1"/>
    <xf numFmtId="38" fontId="7" fillId="6" borderId="66" xfId="6" applyFont="1" applyFill="1" applyBorder="1" applyAlignment="1"/>
    <xf numFmtId="38" fontId="7" fillId="6" borderId="67" xfId="6" applyFont="1" applyFill="1" applyBorder="1" applyAlignment="1"/>
    <xf numFmtId="38" fontId="7" fillId="6" borderId="68" xfId="6" applyFont="1" applyFill="1" applyBorder="1"/>
    <xf numFmtId="38" fontId="7" fillId="6" borderId="69" xfId="6" applyFont="1" applyFill="1" applyBorder="1" applyAlignment="1"/>
    <xf numFmtId="38" fontId="7" fillId="6" borderId="0" xfId="6" applyFont="1" applyFill="1" applyBorder="1" applyAlignment="1"/>
    <xf numFmtId="38" fontId="7" fillId="6" borderId="70" xfId="6" applyFont="1" applyFill="1" applyBorder="1"/>
    <xf numFmtId="38" fontId="7" fillId="6" borderId="71" xfId="6" applyFont="1" applyFill="1" applyBorder="1" applyAlignment="1"/>
    <xf numFmtId="38" fontId="7" fillId="6" borderId="72" xfId="6" applyFont="1" applyFill="1" applyBorder="1" applyAlignment="1"/>
    <xf numFmtId="38" fontId="7" fillId="6" borderId="73" xfId="6" applyFont="1" applyFill="1" applyBorder="1"/>
    <xf numFmtId="3" fontId="7" fillId="0" borderId="1" xfId="5" applyNumberFormat="1" applyFont="1" applyBorder="1" applyAlignment="1">
      <alignment horizontal="center" vertical="center"/>
    </xf>
    <xf numFmtId="188" fontId="7" fillId="0" borderId="1" xfId="5" applyNumberFormat="1" applyFont="1" applyBorder="1" applyAlignment="1">
      <alignment horizontal="center" vertical="center"/>
    </xf>
    <xf numFmtId="3" fontId="7" fillId="0" borderId="0" xfId="5" applyNumberFormat="1" applyFont="1" applyAlignment="1">
      <alignment horizontal="center" vertical="center"/>
    </xf>
    <xf numFmtId="3" fontId="31" fillId="2" borderId="1" xfId="5" applyNumberFormat="1" applyFont="1" applyFill="1" applyBorder="1"/>
    <xf numFmtId="3" fontId="31" fillId="0" borderId="1" xfId="5" applyNumberFormat="1" applyFont="1" applyFill="1" applyBorder="1"/>
    <xf numFmtId="3" fontId="7" fillId="0" borderId="1" xfId="5" applyNumberFormat="1" applyFont="1" applyBorder="1"/>
    <xf numFmtId="10" fontId="7" fillId="0" borderId="1" xfId="5" applyNumberFormat="1" applyFont="1" applyBorder="1"/>
    <xf numFmtId="176" fontId="7" fillId="6" borderId="74" xfId="6" applyNumberFormat="1" applyFont="1" applyFill="1" applyBorder="1"/>
    <xf numFmtId="176" fontId="7" fillId="6" borderId="75" xfId="6" applyNumberFormat="1" applyFont="1" applyFill="1" applyBorder="1"/>
    <xf numFmtId="176" fontId="7" fillId="6" borderId="76" xfId="6" applyNumberFormat="1" applyFont="1" applyFill="1" applyBorder="1"/>
    <xf numFmtId="38" fontId="32" fillId="0" borderId="0" xfId="8" applyFont="1" applyAlignment="1">
      <alignment vertical="center"/>
    </xf>
    <xf numFmtId="38" fontId="32" fillId="8" borderId="86" xfId="8" applyFont="1" applyFill="1" applyBorder="1" applyAlignment="1">
      <alignment horizontal="center" vertical="center" wrapText="1"/>
    </xf>
    <xf numFmtId="38" fontId="32" fillId="0" borderId="94" xfId="8" applyFont="1" applyBorder="1" applyAlignment="1">
      <alignment horizontal="center" vertical="center"/>
    </xf>
    <xf numFmtId="38" fontId="32" fillId="0" borderId="102" xfId="8" applyFont="1" applyBorder="1" applyAlignment="1">
      <alignment horizontal="center" vertical="center"/>
    </xf>
    <xf numFmtId="38" fontId="32" fillId="0" borderId="110" xfId="8" applyFont="1" applyBorder="1" applyAlignment="1">
      <alignment horizontal="center" vertical="center"/>
    </xf>
    <xf numFmtId="38" fontId="10" fillId="0" borderId="102" xfId="8" applyFont="1" applyFill="1" applyBorder="1" applyAlignment="1">
      <alignment horizontal="center" vertical="center"/>
    </xf>
    <xf numFmtId="38" fontId="10" fillId="0" borderId="110" xfId="8" applyFont="1" applyFill="1" applyBorder="1" applyAlignment="1">
      <alignment horizontal="center" vertical="center"/>
    </xf>
    <xf numFmtId="38" fontId="10" fillId="0" borderId="94" xfId="8" applyFont="1" applyFill="1" applyBorder="1" applyAlignment="1">
      <alignment horizontal="center" vertical="center"/>
    </xf>
    <xf numFmtId="38" fontId="10" fillId="0" borderId="119" xfId="8" applyFont="1" applyFill="1" applyBorder="1" applyAlignment="1">
      <alignment horizontal="center" vertical="center"/>
    </xf>
    <xf numFmtId="38" fontId="10" fillId="2" borderId="127" xfId="8" applyFont="1" applyFill="1" applyBorder="1" applyAlignment="1">
      <alignment horizontal="center" vertical="center"/>
    </xf>
    <xf numFmtId="38" fontId="10" fillId="2" borderId="135" xfId="8" applyFont="1" applyFill="1" applyBorder="1" applyAlignment="1">
      <alignment horizontal="center" vertical="center"/>
    </xf>
    <xf numFmtId="38" fontId="10" fillId="2" borderId="143" xfId="8" applyFont="1" applyFill="1" applyBorder="1" applyAlignment="1">
      <alignment horizontal="center" vertical="center"/>
    </xf>
    <xf numFmtId="38" fontId="10" fillId="0" borderId="154" xfId="8" applyFont="1" applyFill="1" applyBorder="1" applyAlignment="1">
      <alignment horizontal="center" vertical="center"/>
    </xf>
    <xf numFmtId="38" fontId="10" fillId="0" borderId="164" xfId="8" applyFont="1" applyFill="1" applyBorder="1" applyAlignment="1">
      <alignment horizontal="center" vertical="center"/>
    </xf>
    <xf numFmtId="38" fontId="10" fillId="0" borderId="144" xfId="8" applyFont="1" applyFill="1" applyBorder="1" applyAlignment="1">
      <alignment horizontal="center" vertical="center"/>
    </xf>
    <xf numFmtId="38" fontId="22" fillId="0" borderId="0" xfId="2" applyFont="1" applyAlignment="1" applyProtection="1">
      <alignment vertical="center"/>
    </xf>
    <xf numFmtId="38" fontId="32" fillId="0" borderId="0" xfId="2" applyFont="1" applyAlignment="1" applyProtection="1">
      <alignment vertical="center"/>
    </xf>
    <xf numFmtId="193" fontId="32" fillId="0" borderId="0" xfId="2" applyNumberFormat="1" applyFont="1" applyAlignment="1" applyProtection="1">
      <alignment horizontal="center" vertical="center"/>
    </xf>
    <xf numFmtId="38" fontId="32" fillId="0" borderId="0" xfId="2" applyFont="1" applyAlignment="1" applyProtection="1">
      <alignment vertical="center" wrapText="1"/>
    </xf>
    <xf numFmtId="193" fontId="32" fillId="0" borderId="0" xfId="2" applyNumberFormat="1" applyFont="1" applyAlignment="1" applyProtection="1">
      <alignment horizontal="center" vertical="center" wrapText="1"/>
    </xf>
    <xf numFmtId="38" fontId="32" fillId="0" borderId="0" xfId="2" applyFont="1" applyAlignment="1" applyProtection="1">
      <alignment horizontal="center" vertical="center" wrapText="1"/>
    </xf>
    <xf numFmtId="38" fontId="32" fillId="0" borderId="178" xfId="2" applyFont="1" applyFill="1" applyBorder="1" applyAlignment="1" applyProtection="1">
      <alignment vertical="center" wrapText="1"/>
    </xf>
    <xf numFmtId="193" fontId="32" fillId="0" borderId="178" xfId="2" applyNumberFormat="1" applyFont="1" applyFill="1" applyBorder="1" applyAlignment="1" applyProtection="1">
      <alignment horizontal="center" vertical="center" wrapText="1"/>
    </xf>
    <xf numFmtId="38" fontId="10" fillId="0" borderId="178" xfId="2" applyFont="1" applyFill="1" applyBorder="1" applyAlignment="1" applyProtection="1">
      <alignment vertical="center" wrapText="1"/>
    </xf>
    <xf numFmtId="38" fontId="32" fillId="0" borderId="184" xfId="2" applyFont="1" applyFill="1" applyBorder="1" applyAlignment="1" applyProtection="1">
      <alignment vertical="center" wrapText="1"/>
    </xf>
    <xf numFmtId="193" fontId="32" fillId="0" borderId="184" xfId="2" applyNumberFormat="1" applyFont="1" applyFill="1" applyBorder="1" applyAlignment="1" applyProtection="1">
      <alignment horizontal="center" vertical="center" wrapText="1"/>
    </xf>
    <xf numFmtId="38" fontId="10" fillId="0" borderId="184" xfId="2" applyFont="1" applyFill="1" applyBorder="1" applyAlignment="1" applyProtection="1">
      <alignment vertical="center" wrapText="1"/>
    </xf>
    <xf numFmtId="38" fontId="32" fillId="0" borderId="323" xfId="2" applyFont="1" applyFill="1" applyBorder="1" applyAlignment="1" applyProtection="1">
      <alignment vertical="center" wrapText="1"/>
    </xf>
    <xf numFmtId="193" fontId="32" fillId="0" borderId="323" xfId="2" applyNumberFormat="1" applyFont="1" applyFill="1" applyBorder="1" applyAlignment="1" applyProtection="1">
      <alignment horizontal="center" vertical="center" wrapText="1"/>
    </xf>
    <xf numFmtId="38" fontId="10" fillId="0" borderId="323" xfId="2" applyFont="1" applyFill="1" applyBorder="1" applyAlignment="1" applyProtection="1">
      <alignment vertical="center" wrapText="1"/>
    </xf>
    <xf numFmtId="38" fontId="32" fillId="0" borderId="178" xfId="2" applyFont="1" applyFill="1" applyBorder="1" applyAlignment="1" applyProtection="1">
      <alignment horizontal="center" vertical="center" wrapText="1"/>
    </xf>
    <xf numFmtId="38" fontId="32" fillId="0" borderId="178" xfId="2" applyFont="1" applyFill="1" applyBorder="1" applyAlignment="1" applyProtection="1">
      <alignment horizontal="right" vertical="center" wrapText="1"/>
    </xf>
    <xf numFmtId="38" fontId="32" fillId="0" borderId="184" xfId="2" applyFont="1" applyFill="1" applyBorder="1" applyAlignment="1" applyProtection="1">
      <alignment horizontal="right" vertical="center" wrapText="1"/>
    </xf>
    <xf numFmtId="38" fontId="32" fillId="0" borderId="323" xfId="2" applyFont="1" applyFill="1" applyBorder="1" applyAlignment="1" applyProtection="1">
      <alignment horizontal="right" vertical="center" wrapText="1"/>
    </xf>
    <xf numFmtId="38" fontId="10" fillId="0" borderId="0" xfId="1" applyFont="1" applyProtection="1">
      <alignment vertical="center"/>
    </xf>
    <xf numFmtId="38" fontId="10" fillId="2" borderId="0" xfId="1" applyFont="1" applyFill="1" applyAlignment="1" applyProtection="1">
      <alignment horizontal="center" vertical="center"/>
    </xf>
    <xf numFmtId="0" fontId="10" fillId="2" borderId="0" xfId="1" applyNumberFormat="1" applyFont="1" applyFill="1" applyAlignment="1" applyProtection="1">
      <alignment horizontal="center" vertical="center"/>
    </xf>
    <xf numFmtId="0" fontId="10" fillId="2" borderId="0" xfId="1" applyNumberFormat="1" applyFont="1" applyFill="1" applyProtection="1">
      <alignment vertical="center"/>
    </xf>
    <xf numFmtId="0" fontId="10" fillId="0" borderId="0" xfId="1" applyNumberFormat="1" applyFont="1" applyProtection="1">
      <alignment vertical="center"/>
    </xf>
    <xf numFmtId="38" fontId="10" fillId="0" borderId="1" xfId="1" applyFont="1" applyFill="1" applyBorder="1" applyAlignment="1" applyProtection="1">
      <alignment vertical="center" wrapText="1"/>
    </xf>
    <xf numFmtId="38" fontId="10" fillId="2" borderId="1" xfId="1" applyFont="1" applyFill="1" applyBorder="1" applyAlignment="1" applyProtection="1">
      <alignment vertical="center" wrapText="1"/>
    </xf>
    <xf numFmtId="38" fontId="10" fillId="8" borderId="1" xfId="1" applyFont="1" applyFill="1" applyBorder="1" applyAlignment="1" applyProtection="1">
      <alignment vertical="center" wrapText="1"/>
    </xf>
    <xf numFmtId="0" fontId="10" fillId="2" borderId="0" xfId="1" applyNumberFormat="1" applyFont="1" applyFill="1" applyAlignment="1" applyProtection="1">
      <alignment vertical="center" wrapText="1"/>
    </xf>
    <xf numFmtId="0" fontId="10" fillId="0" borderId="0" xfId="1" applyNumberFormat="1" applyFont="1" applyAlignment="1" applyProtection="1">
      <alignment vertical="center" wrapText="1"/>
    </xf>
    <xf numFmtId="0" fontId="10" fillId="0" borderId="0" xfId="1" applyNumberFormat="1" applyFont="1" applyAlignment="1" applyProtection="1">
      <alignment horizontal="center" vertical="center" wrapText="1"/>
    </xf>
    <xf numFmtId="176" fontId="10" fillId="0" borderId="1" xfId="1" applyNumberFormat="1" applyFont="1" applyFill="1" applyBorder="1" applyAlignment="1" applyProtection="1">
      <alignment vertical="center" wrapText="1"/>
    </xf>
    <xf numFmtId="176" fontId="10" fillId="8" borderId="1" xfId="1" applyNumberFormat="1" applyFont="1" applyFill="1" applyBorder="1" applyAlignment="1" applyProtection="1">
      <alignment vertical="center" wrapText="1"/>
    </xf>
    <xf numFmtId="38" fontId="10" fillId="0" borderId="0" xfId="1" applyFont="1" applyAlignment="1" applyProtection="1">
      <alignment vertical="center" wrapText="1"/>
    </xf>
    <xf numFmtId="176" fontId="10" fillId="4" borderId="59" xfId="1" applyNumberFormat="1" applyFont="1" applyFill="1" applyBorder="1" applyAlignment="1" applyProtection="1">
      <alignment horizontal="center" vertical="center" wrapText="1"/>
    </xf>
    <xf numFmtId="38" fontId="10" fillId="0" borderId="0" xfId="1" applyFont="1" applyAlignment="1" applyProtection="1">
      <alignment vertical="center"/>
    </xf>
    <xf numFmtId="38" fontId="10" fillId="0" borderId="1" xfId="1" applyFont="1" applyFill="1" applyBorder="1" applyAlignment="1" applyProtection="1">
      <alignment horizontal="center" vertical="center" wrapText="1"/>
    </xf>
    <xf numFmtId="176" fontId="10" fillId="0" borderId="1" xfId="1" applyNumberFormat="1" applyFont="1" applyFill="1" applyBorder="1" applyAlignment="1" applyProtection="1">
      <alignment horizontal="center" vertical="center" wrapText="1"/>
    </xf>
    <xf numFmtId="176" fontId="10" fillId="4" borderId="4" xfId="1" applyNumberFormat="1" applyFont="1" applyFill="1" applyBorder="1" applyAlignment="1" applyProtection="1">
      <alignment horizontal="center" vertical="center" wrapText="1"/>
    </xf>
    <xf numFmtId="38" fontId="10" fillId="0" borderId="0" xfId="1" applyFont="1" applyFill="1" applyAlignment="1" applyProtection="1">
      <alignment vertical="center"/>
    </xf>
    <xf numFmtId="38" fontId="10" fillId="0" borderId="0" xfId="1" applyFont="1" applyAlignment="1" applyProtection="1">
      <alignment horizontal="center" vertical="center"/>
    </xf>
    <xf numFmtId="49" fontId="10" fillId="2" borderId="0" xfId="1" applyNumberFormat="1" applyFont="1" applyFill="1" applyAlignment="1" applyProtection="1">
      <alignment horizontal="center" vertical="center"/>
    </xf>
    <xf numFmtId="38" fontId="26" fillId="4" borderId="28" xfId="1" applyFont="1" applyFill="1" applyBorder="1" applyAlignment="1" applyProtection="1">
      <alignment horizontal="center" vertical="center" wrapText="1"/>
    </xf>
    <xf numFmtId="38" fontId="26" fillId="0" borderId="0" xfId="1" applyFont="1" applyFill="1" applyBorder="1" applyAlignment="1" applyProtection="1">
      <alignment horizontal="center" vertical="center" wrapText="1"/>
    </xf>
    <xf numFmtId="38" fontId="10" fillId="0" borderId="208" xfId="1" applyFont="1" applyFill="1" applyBorder="1" applyAlignment="1" applyProtection="1">
      <alignment vertical="center" wrapText="1"/>
    </xf>
    <xf numFmtId="176" fontId="10" fillId="0" borderId="0" xfId="1" applyNumberFormat="1" applyFont="1" applyFill="1" applyBorder="1" applyAlignment="1" applyProtection="1">
      <alignment vertical="center" wrapText="1"/>
    </xf>
    <xf numFmtId="38" fontId="10" fillId="0" borderId="0" xfId="1" applyFont="1" applyFill="1" applyBorder="1" applyAlignment="1" applyProtection="1">
      <alignment vertical="center" wrapText="1"/>
    </xf>
    <xf numFmtId="38" fontId="10" fillId="0" borderId="208" xfId="1" applyFont="1" applyFill="1" applyBorder="1" applyAlignment="1" applyProtection="1">
      <alignment vertical="center"/>
    </xf>
    <xf numFmtId="38" fontId="10" fillId="0" borderId="0" xfId="1" applyFont="1" applyAlignment="1" applyProtection="1">
      <alignment horizontal="center" vertical="center" wrapText="1"/>
    </xf>
    <xf numFmtId="176" fontId="10" fillId="0" borderId="0" xfId="1" applyNumberFormat="1" applyFont="1" applyProtection="1">
      <alignment vertical="center"/>
    </xf>
    <xf numFmtId="38" fontId="10" fillId="0" borderId="1" xfId="1" applyFont="1" applyFill="1" applyBorder="1" applyProtection="1">
      <alignment vertical="center"/>
    </xf>
    <xf numFmtId="38" fontId="8" fillId="0" borderId="0" xfId="1" applyFont="1" applyAlignment="1">
      <alignment vertical="center"/>
    </xf>
    <xf numFmtId="38" fontId="26" fillId="0" borderId="0" xfId="1" applyFont="1" applyAlignment="1">
      <alignment vertical="center" wrapText="1"/>
    </xf>
    <xf numFmtId="38" fontId="26" fillId="0" borderId="0" xfId="1" applyFont="1">
      <alignment vertical="center"/>
    </xf>
    <xf numFmtId="38" fontId="26" fillId="0" borderId="0" xfId="1" applyFont="1" applyAlignment="1">
      <alignment horizontal="center" vertical="center"/>
    </xf>
    <xf numFmtId="38" fontId="26" fillId="0" borderId="0" xfId="1" applyFont="1" applyAlignment="1">
      <alignment horizontal="right" vertical="center"/>
    </xf>
    <xf numFmtId="38" fontId="26" fillId="0" borderId="326" xfId="1" applyFont="1" applyFill="1" applyBorder="1" applyAlignment="1"/>
    <xf numFmtId="38" fontId="26" fillId="8" borderId="326" xfId="1" applyFont="1" applyFill="1" applyBorder="1">
      <alignment vertical="center"/>
    </xf>
    <xf numFmtId="38" fontId="26" fillId="0" borderId="184" xfId="1" applyFont="1" applyFill="1" applyBorder="1" applyAlignment="1"/>
    <xf numFmtId="38" fontId="26" fillId="8" borderId="184" xfId="1" applyFont="1" applyFill="1" applyBorder="1">
      <alignment vertical="center"/>
    </xf>
    <xf numFmtId="38" fontId="26" fillId="0" borderId="144" xfId="1" applyFont="1" applyFill="1" applyBorder="1" applyAlignment="1"/>
    <xf numFmtId="38" fontId="26" fillId="0" borderId="184" xfId="1" applyFont="1" applyFill="1" applyBorder="1">
      <alignment vertical="center"/>
    </xf>
    <xf numFmtId="38" fontId="26" fillId="0" borderId="184" xfId="1" applyFont="1" applyFill="1" applyBorder="1" applyAlignment="1">
      <alignment vertical="center"/>
    </xf>
    <xf numFmtId="38" fontId="47" fillId="0" borderId="144" xfId="1" applyFont="1" applyFill="1" applyBorder="1" applyAlignment="1">
      <alignment vertical="center"/>
    </xf>
    <xf numFmtId="38" fontId="26" fillId="0" borderId="323" xfId="1" applyFont="1" applyFill="1" applyBorder="1" applyAlignment="1">
      <alignment vertical="center"/>
    </xf>
    <xf numFmtId="38" fontId="47" fillId="0" borderId="224" xfId="1" applyFont="1" applyFill="1" applyBorder="1" applyAlignment="1">
      <alignment vertical="center"/>
    </xf>
    <xf numFmtId="38" fontId="26" fillId="0" borderId="323" xfId="1" applyFont="1" applyFill="1" applyBorder="1">
      <alignment vertical="center"/>
    </xf>
    <xf numFmtId="38" fontId="26" fillId="8" borderId="323" xfId="1" applyFont="1" applyFill="1" applyBorder="1">
      <alignment vertical="center"/>
    </xf>
    <xf numFmtId="38" fontId="26" fillId="8" borderId="164" xfId="1" applyFont="1" applyFill="1" applyBorder="1">
      <alignment vertical="center"/>
    </xf>
    <xf numFmtId="38" fontId="26" fillId="0" borderId="53" xfId="1" applyFont="1" applyFill="1" applyBorder="1" applyAlignment="1">
      <alignment vertical="center"/>
    </xf>
    <xf numFmtId="38" fontId="26" fillId="8" borderId="178" xfId="1" applyFont="1" applyFill="1" applyBorder="1">
      <alignment vertical="center"/>
    </xf>
    <xf numFmtId="38" fontId="26" fillId="8" borderId="144" xfId="1" applyFont="1" applyFill="1" applyBorder="1">
      <alignment vertical="center"/>
    </xf>
    <xf numFmtId="38" fontId="26" fillId="0" borderId="55" xfId="1" applyFont="1" applyFill="1" applyBorder="1" applyAlignment="1"/>
    <xf numFmtId="38" fontId="26" fillId="0" borderId="326" xfId="1" applyFont="1" applyFill="1" applyBorder="1">
      <alignment vertical="center"/>
    </xf>
    <xf numFmtId="38" fontId="26" fillId="8" borderId="328" xfId="1" applyFont="1" applyFill="1" applyBorder="1">
      <alignment vertical="center"/>
    </xf>
    <xf numFmtId="38" fontId="26" fillId="2" borderId="184" xfId="1" applyFont="1" applyFill="1" applyBorder="1">
      <alignment vertical="center"/>
    </xf>
    <xf numFmtId="38" fontId="26" fillId="8" borderId="53" xfId="1" applyFont="1" applyFill="1" applyBorder="1">
      <alignment vertical="center"/>
    </xf>
    <xf numFmtId="38" fontId="26" fillId="0" borderId="1" xfId="1" applyFont="1" applyFill="1" applyBorder="1" applyAlignment="1"/>
    <xf numFmtId="38" fontId="26" fillId="0" borderId="1" xfId="1" applyFont="1" applyFill="1" applyBorder="1">
      <alignment vertical="center"/>
    </xf>
    <xf numFmtId="38" fontId="26" fillId="8" borderId="1" xfId="1" applyFont="1" applyFill="1" applyBorder="1">
      <alignment vertical="center"/>
    </xf>
    <xf numFmtId="0" fontId="5" fillId="0" borderId="0" xfId="13">
      <alignment vertical="center"/>
    </xf>
    <xf numFmtId="40" fontId="26" fillId="0" borderId="1" xfId="1" applyNumberFormat="1" applyFont="1" applyFill="1" applyBorder="1">
      <alignment vertical="center"/>
    </xf>
    <xf numFmtId="40" fontId="26" fillId="0" borderId="1" xfId="1" applyNumberFormat="1" applyFont="1" applyFill="1" applyBorder="1" applyAlignment="1">
      <alignment horizontal="right" vertical="center"/>
    </xf>
    <xf numFmtId="40" fontId="26" fillId="8" borderId="1" xfId="1" applyNumberFormat="1" applyFont="1" applyFill="1" applyBorder="1">
      <alignment vertical="center"/>
    </xf>
    <xf numFmtId="40" fontId="26" fillId="0" borderId="0" xfId="1" applyNumberFormat="1" applyFont="1">
      <alignment vertical="center"/>
    </xf>
    <xf numFmtId="38" fontId="26" fillId="0" borderId="1" xfId="1" applyFont="1" applyFill="1" applyBorder="1" applyAlignment="1">
      <alignment horizontal="right" vertical="center"/>
    </xf>
    <xf numFmtId="38" fontId="8" fillId="0" borderId="0" xfId="1" applyFont="1" applyProtection="1">
      <alignment vertical="center"/>
    </xf>
    <xf numFmtId="193" fontId="8" fillId="0" borderId="0" xfId="1" applyNumberFormat="1" applyFont="1" applyAlignment="1" applyProtection="1">
      <alignment horizontal="right" vertical="center"/>
    </xf>
    <xf numFmtId="194" fontId="8" fillId="0" borderId="0" xfId="1" applyNumberFormat="1" applyFont="1" applyAlignment="1" applyProtection="1">
      <alignment horizontal="right" vertical="center"/>
    </xf>
    <xf numFmtId="0" fontId="8" fillId="0" borderId="0" xfId="1" applyNumberFormat="1" applyFont="1" applyAlignment="1" applyProtection="1">
      <alignment horizontal="right" vertical="center"/>
    </xf>
    <xf numFmtId="195" fontId="8" fillId="0" borderId="0" xfId="1" applyNumberFormat="1" applyFont="1" applyAlignment="1" applyProtection="1">
      <alignment horizontal="right" vertical="center"/>
    </xf>
    <xf numFmtId="0" fontId="8" fillId="0" borderId="0" xfId="1" applyNumberFormat="1" applyFont="1" applyAlignment="1" applyProtection="1">
      <alignment horizontal="center" vertical="center"/>
    </xf>
    <xf numFmtId="38" fontId="26" fillId="0" borderId="0" xfId="1" applyFont="1" applyFill="1" applyProtection="1">
      <alignment vertical="center"/>
    </xf>
    <xf numFmtId="176" fontId="8" fillId="0" borderId="0" xfId="1" applyNumberFormat="1" applyFont="1" applyProtection="1">
      <alignment vertical="center"/>
    </xf>
    <xf numFmtId="196" fontId="10" fillId="0" borderId="0" xfId="1" applyNumberFormat="1" applyFont="1" applyProtection="1">
      <alignment vertical="center"/>
    </xf>
    <xf numFmtId="38" fontId="48" fillId="0" borderId="0" xfId="1" applyFont="1" applyFill="1" applyProtection="1">
      <alignment vertical="center"/>
    </xf>
    <xf numFmtId="38" fontId="8" fillId="0" borderId="0" xfId="1" applyFont="1" applyFill="1" applyProtection="1">
      <alignment vertical="center"/>
    </xf>
    <xf numFmtId="196" fontId="10" fillId="0" borderId="0" xfId="1" applyNumberFormat="1" applyFont="1" applyAlignment="1" applyProtection="1">
      <alignment horizontal="center" vertical="center"/>
    </xf>
    <xf numFmtId="196" fontId="10" fillId="0" borderId="0" xfId="1" applyNumberFormat="1" applyFont="1" applyFill="1" applyProtection="1">
      <alignment vertical="center"/>
    </xf>
    <xf numFmtId="196" fontId="49" fillId="0" borderId="0" xfId="1" applyNumberFormat="1" applyFont="1" applyFill="1" applyProtection="1">
      <alignment vertical="center"/>
    </xf>
    <xf numFmtId="197" fontId="10" fillId="4" borderId="1" xfId="1" applyNumberFormat="1" applyFont="1" applyFill="1" applyBorder="1" applyAlignment="1" applyProtection="1">
      <alignment horizontal="center" vertical="center" wrapText="1"/>
    </xf>
    <xf numFmtId="38" fontId="10" fillId="0" borderId="326" xfId="1" applyFont="1" applyFill="1" applyBorder="1" applyProtection="1">
      <alignment vertical="center"/>
    </xf>
    <xf numFmtId="193" fontId="26" fillId="0" borderId="215" xfId="1" applyNumberFormat="1" applyFont="1" applyFill="1" applyBorder="1" applyAlignment="1" applyProtection="1">
      <alignment horizontal="center" vertical="center"/>
    </xf>
    <xf numFmtId="49" fontId="10" fillId="0" borderId="326" xfId="1" applyNumberFormat="1" applyFont="1" applyFill="1" applyBorder="1" applyAlignment="1" applyProtection="1">
      <alignment horizontal="center" vertical="center"/>
    </xf>
    <xf numFmtId="38" fontId="10" fillId="0" borderId="28" xfId="1" applyFont="1" applyFill="1" applyBorder="1" applyAlignment="1"/>
    <xf numFmtId="38" fontId="10" fillId="0" borderId="0" xfId="1" applyFont="1" applyFill="1" applyAlignment="1"/>
    <xf numFmtId="176" fontId="10" fillId="0" borderId="326" xfId="1" applyNumberFormat="1" applyFont="1" applyFill="1" applyBorder="1" applyProtection="1">
      <alignment vertical="center"/>
    </xf>
    <xf numFmtId="38" fontId="7" fillId="0" borderId="0" xfId="1" applyFont="1" applyFill="1" applyAlignment="1">
      <alignment vertical="center"/>
    </xf>
    <xf numFmtId="38" fontId="10" fillId="0" borderId="0" xfId="1" applyFont="1" applyFill="1" applyProtection="1">
      <alignment vertical="center"/>
    </xf>
    <xf numFmtId="38" fontId="10" fillId="0" borderId="184" xfId="1" applyFont="1" applyFill="1" applyBorder="1" applyProtection="1">
      <alignment vertical="center"/>
    </xf>
    <xf numFmtId="193" fontId="26" fillId="0" borderId="185" xfId="1" applyNumberFormat="1" applyFont="1" applyFill="1" applyBorder="1" applyAlignment="1" applyProtection="1">
      <alignment horizontal="center" vertical="center"/>
    </xf>
    <xf numFmtId="49" fontId="10" fillId="0" borderId="184" xfId="1" applyNumberFormat="1" applyFont="1" applyFill="1" applyBorder="1" applyAlignment="1" applyProtection="1">
      <alignment horizontal="center" vertical="center"/>
    </xf>
    <xf numFmtId="38" fontId="10" fillId="0" borderId="184" xfId="1" applyFont="1" applyFill="1" applyBorder="1" applyAlignment="1"/>
    <xf numFmtId="38" fontId="10" fillId="0" borderId="330" xfId="1" applyFont="1" applyFill="1" applyBorder="1" applyAlignment="1"/>
    <xf numFmtId="176" fontId="10" fillId="0" borderId="184" xfId="1" applyNumberFormat="1" applyFont="1" applyFill="1" applyBorder="1" applyProtection="1">
      <alignment vertical="center"/>
    </xf>
    <xf numFmtId="38" fontId="7" fillId="0" borderId="328" xfId="1" applyFont="1" applyFill="1" applyBorder="1" applyAlignment="1">
      <alignment vertical="center"/>
    </xf>
    <xf numFmtId="38" fontId="7" fillId="0" borderId="184" xfId="1" applyFont="1" applyFill="1" applyBorder="1" applyAlignment="1">
      <alignment vertical="center"/>
    </xf>
    <xf numFmtId="38" fontId="10" fillId="0" borderId="189" xfId="1" applyFont="1" applyFill="1" applyBorder="1" applyProtection="1">
      <alignment vertical="center"/>
    </xf>
    <xf numFmtId="193" fontId="26" fillId="0" borderId="190" xfId="1" applyNumberFormat="1" applyFont="1" applyFill="1" applyBorder="1" applyAlignment="1" applyProtection="1">
      <alignment horizontal="center" vertical="center"/>
    </xf>
    <xf numFmtId="49" fontId="10" fillId="0" borderId="189" xfId="1" applyNumberFormat="1" applyFont="1" applyFill="1" applyBorder="1" applyAlignment="1" applyProtection="1">
      <alignment horizontal="center" vertical="center"/>
    </xf>
    <xf numFmtId="38" fontId="10" fillId="0" borderId="53" xfId="1" applyFont="1" applyFill="1" applyBorder="1" applyAlignment="1"/>
    <xf numFmtId="176" fontId="10" fillId="0" borderId="189" xfId="1" applyNumberFormat="1" applyFont="1" applyFill="1" applyBorder="1" applyProtection="1">
      <alignment vertical="center"/>
    </xf>
    <xf numFmtId="38" fontId="10" fillId="11" borderId="333" xfId="1" applyFont="1" applyFill="1" applyBorder="1" applyProtection="1">
      <alignment vertical="center"/>
    </xf>
    <xf numFmtId="38" fontId="10" fillId="11" borderId="334" xfId="1" applyFont="1" applyFill="1" applyBorder="1" applyProtection="1">
      <alignment vertical="center"/>
    </xf>
    <xf numFmtId="193" fontId="10" fillId="12" borderId="333" xfId="1" applyNumberFormat="1" applyFont="1" applyFill="1" applyBorder="1" applyAlignment="1" applyProtection="1">
      <alignment horizontal="right" vertical="center"/>
    </xf>
    <xf numFmtId="194" fontId="10" fillId="12" borderId="335" xfId="1" applyNumberFormat="1" applyFont="1" applyFill="1" applyBorder="1" applyAlignment="1" applyProtection="1">
      <alignment horizontal="right" vertical="center"/>
    </xf>
    <xf numFmtId="198" fontId="10" fillId="12" borderId="335" xfId="1" applyNumberFormat="1" applyFont="1" applyFill="1" applyBorder="1" applyAlignment="1" applyProtection="1">
      <alignment horizontal="right" vertical="center"/>
    </xf>
    <xf numFmtId="195" fontId="10" fillId="12" borderId="335" xfId="1" applyNumberFormat="1" applyFont="1" applyFill="1" applyBorder="1" applyAlignment="1" applyProtection="1">
      <alignment horizontal="right" vertical="center"/>
    </xf>
    <xf numFmtId="49" fontId="10" fillId="12" borderId="336" xfId="1" applyNumberFormat="1" applyFont="1" applyFill="1" applyBorder="1" applyAlignment="1" applyProtection="1">
      <alignment horizontal="center" vertical="center"/>
    </xf>
    <xf numFmtId="38" fontId="10" fillId="12" borderId="336" xfId="1" applyFont="1" applyFill="1" applyBorder="1" applyProtection="1">
      <alignment vertical="center"/>
    </xf>
    <xf numFmtId="38" fontId="10" fillId="12" borderId="335" xfId="1" applyFont="1" applyFill="1" applyBorder="1" applyProtection="1">
      <alignment vertical="center"/>
    </xf>
    <xf numFmtId="176" fontId="10" fillId="12" borderId="336" xfId="1" applyNumberFormat="1" applyFont="1" applyFill="1" applyBorder="1" applyProtection="1">
      <alignment vertical="center"/>
    </xf>
    <xf numFmtId="38" fontId="10" fillId="12" borderId="336" xfId="1" applyFont="1" applyFill="1" applyBorder="1" applyAlignment="1" applyProtection="1">
      <alignment horizontal="center" vertical="center"/>
    </xf>
    <xf numFmtId="38" fontId="10" fillId="11" borderId="217" xfId="1" applyFont="1" applyFill="1" applyBorder="1" applyProtection="1">
      <alignment vertical="center"/>
    </xf>
    <xf numFmtId="38" fontId="10" fillId="11" borderId="224" xfId="1" applyFont="1" applyFill="1" applyBorder="1" applyProtection="1">
      <alignment vertical="center"/>
    </xf>
    <xf numFmtId="193" fontId="10" fillId="11" borderId="217" xfId="1" applyNumberFormat="1" applyFont="1" applyFill="1" applyBorder="1" applyAlignment="1" applyProtection="1">
      <alignment horizontal="right" vertical="center"/>
    </xf>
    <xf numFmtId="194" fontId="10" fillId="11" borderId="324" xfId="1" applyNumberFormat="1" applyFont="1" applyFill="1" applyBorder="1" applyAlignment="1" applyProtection="1">
      <alignment horizontal="right" vertical="center"/>
    </xf>
    <xf numFmtId="198" fontId="10" fillId="11" borderId="324" xfId="1" applyNumberFormat="1" applyFont="1" applyFill="1" applyBorder="1" applyAlignment="1" applyProtection="1">
      <alignment horizontal="right" vertical="center"/>
    </xf>
    <xf numFmtId="195" fontId="10" fillId="11" borderId="324" xfId="1" applyNumberFormat="1" applyFont="1" applyFill="1" applyBorder="1" applyAlignment="1" applyProtection="1">
      <alignment horizontal="right" vertical="center"/>
    </xf>
    <xf numFmtId="49" fontId="10" fillId="11" borderId="323" xfId="1" applyNumberFormat="1" applyFont="1" applyFill="1" applyBorder="1" applyAlignment="1" applyProtection="1">
      <alignment horizontal="center" vertical="center"/>
    </xf>
    <xf numFmtId="38" fontId="10" fillId="12" borderId="323" xfId="1" applyFont="1" applyFill="1" applyBorder="1" applyProtection="1">
      <alignment vertical="center"/>
    </xf>
    <xf numFmtId="38" fontId="10" fillId="12" borderId="324" xfId="1" applyFont="1" applyFill="1" applyBorder="1" applyProtection="1">
      <alignment vertical="center"/>
    </xf>
    <xf numFmtId="176" fontId="10" fillId="12" borderId="323" xfId="1" applyNumberFormat="1" applyFont="1" applyFill="1" applyBorder="1" applyProtection="1">
      <alignment vertical="center"/>
    </xf>
    <xf numFmtId="49" fontId="10" fillId="0" borderId="330" xfId="1" applyNumberFormat="1" applyFont="1" applyFill="1" applyBorder="1" applyAlignment="1" applyProtection="1">
      <alignment horizontal="right" vertical="center"/>
    </xf>
    <xf numFmtId="193" fontId="10" fillId="11" borderId="333" xfId="1" applyNumberFormat="1" applyFont="1" applyFill="1" applyBorder="1" applyAlignment="1" applyProtection="1">
      <alignment horizontal="right" vertical="center"/>
    </xf>
    <xf numFmtId="194" fontId="10" fillId="11" borderId="335" xfId="1" applyNumberFormat="1" applyFont="1" applyFill="1" applyBorder="1" applyAlignment="1" applyProtection="1">
      <alignment horizontal="right" vertical="center"/>
    </xf>
    <xf numFmtId="198" fontId="10" fillId="11" borderId="335" xfId="1" applyNumberFormat="1" applyFont="1" applyFill="1" applyBorder="1" applyAlignment="1" applyProtection="1">
      <alignment horizontal="right" vertical="center"/>
    </xf>
    <xf numFmtId="195" fontId="10" fillId="11" borderId="335" xfId="1" applyNumberFormat="1" applyFont="1" applyFill="1" applyBorder="1" applyAlignment="1" applyProtection="1">
      <alignment horizontal="right" vertical="center"/>
    </xf>
    <xf numFmtId="49" fontId="10" fillId="11" borderId="336" xfId="1" applyNumberFormat="1" applyFont="1" applyFill="1" applyBorder="1" applyAlignment="1" applyProtection="1">
      <alignment horizontal="center" vertical="center"/>
    </xf>
    <xf numFmtId="38" fontId="7" fillId="0" borderId="189" xfId="1" applyFont="1" applyFill="1" applyBorder="1" applyAlignment="1">
      <alignment vertical="center"/>
    </xf>
    <xf numFmtId="38" fontId="7" fillId="0" borderId="326" xfId="1" applyFont="1" applyFill="1" applyBorder="1" applyAlignment="1">
      <alignment vertical="center"/>
    </xf>
    <xf numFmtId="38" fontId="10" fillId="0" borderId="328" xfId="1" applyFont="1" applyFill="1" applyBorder="1" applyProtection="1">
      <alignment vertical="center"/>
    </xf>
    <xf numFmtId="193" fontId="26" fillId="0" borderId="327" xfId="1" applyNumberFormat="1" applyFont="1" applyFill="1" applyBorder="1" applyAlignment="1" applyProtection="1">
      <alignment horizontal="center" vertical="center"/>
    </xf>
    <xf numFmtId="49" fontId="10" fillId="0" borderId="328" xfId="1" applyNumberFormat="1" applyFont="1" applyFill="1" applyBorder="1" applyAlignment="1" applyProtection="1">
      <alignment horizontal="center" vertical="center"/>
    </xf>
    <xf numFmtId="38" fontId="10" fillId="0" borderId="0" xfId="1" applyFont="1" applyFill="1" applyBorder="1" applyAlignment="1"/>
    <xf numFmtId="176" fontId="10" fillId="0" borderId="328" xfId="1" applyNumberFormat="1" applyFont="1" applyFill="1" applyBorder="1" applyProtection="1">
      <alignment vertical="center"/>
    </xf>
    <xf numFmtId="38" fontId="10" fillId="0" borderId="328" xfId="1" applyFont="1" applyFill="1" applyBorder="1" applyAlignment="1"/>
    <xf numFmtId="38" fontId="10" fillId="0" borderId="339" xfId="1" applyFont="1" applyFill="1" applyBorder="1" applyProtection="1">
      <alignment vertical="center"/>
    </xf>
    <xf numFmtId="193" fontId="26" fillId="0" borderId="340" xfId="1" applyNumberFormat="1" applyFont="1" applyFill="1" applyBorder="1" applyAlignment="1" applyProtection="1">
      <alignment horizontal="center" vertical="center"/>
    </xf>
    <xf numFmtId="49" fontId="10" fillId="0" borderId="339" xfId="1" applyNumberFormat="1" applyFont="1" applyFill="1" applyBorder="1" applyAlignment="1" applyProtection="1">
      <alignment horizontal="center" vertical="center"/>
    </xf>
    <xf numFmtId="176" fontId="10" fillId="0" borderId="53" xfId="1" applyNumberFormat="1" applyFont="1" applyFill="1" applyBorder="1" applyProtection="1">
      <alignment vertical="center"/>
    </xf>
    <xf numFmtId="176" fontId="10" fillId="0" borderId="339" xfId="1" applyNumberFormat="1" applyFont="1" applyFill="1" applyBorder="1" applyProtection="1">
      <alignment vertical="center"/>
    </xf>
    <xf numFmtId="38" fontId="10" fillId="0" borderId="53" xfId="1" applyFont="1" applyFill="1" applyBorder="1" applyProtection="1">
      <alignment vertical="center"/>
    </xf>
    <xf numFmtId="38" fontId="10" fillId="0" borderId="178" xfId="1" applyFont="1" applyFill="1" applyBorder="1" applyProtection="1">
      <alignment vertical="center"/>
    </xf>
    <xf numFmtId="193" fontId="26" fillId="0" borderId="179" xfId="1" applyNumberFormat="1" applyFont="1" applyFill="1" applyBorder="1" applyAlignment="1" applyProtection="1">
      <alignment horizontal="center" vertical="center"/>
    </xf>
    <xf numFmtId="49" fontId="10" fillId="0" borderId="178" xfId="1" applyNumberFormat="1" applyFont="1" applyFill="1" applyBorder="1" applyAlignment="1" applyProtection="1">
      <alignment horizontal="center" vertical="center"/>
    </xf>
    <xf numFmtId="38" fontId="10" fillId="0" borderId="178" xfId="1" applyFont="1" applyFill="1" applyBorder="1" applyAlignment="1"/>
    <xf numFmtId="38" fontId="10" fillId="0" borderId="343" xfId="1" applyFont="1" applyFill="1" applyBorder="1" applyAlignment="1"/>
    <xf numFmtId="176" fontId="10" fillId="0" borderId="178" xfId="1" applyNumberFormat="1" applyFont="1" applyFill="1" applyBorder="1" applyProtection="1">
      <alignment vertical="center"/>
    </xf>
    <xf numFmtId="38" fontId="10" fillId="0" borderId="216" xfId="1" applyFont="1" applyFill="1" applyBorder="1" applyProtection="1">
      <alignment vertical="center"/>
    </xf>
    <xf numFmtId="38" fontId="10" fillId="11" borderId="222" xfId="1" applyFont="1" applyFill="1" applyBorder="1" applyProtection="1">
      <alignment vertical="center"/>
    </xf>
    <xf numFmtId="49" fontId="10" fillId="12" borderId="323" xfId="1" applyNumberFormat="1" applyFont="1" applyFill="1" applyBorder="1" applyAlignment="1" applyProtection="1">
      <alignment horizontal="center" vertical="center"/>
    </xf>
    <xf numFmtId="38" fontId="10" fillId="0" borderId="189" xfId="1" applyFont="1" applyFill="1" applyBorder="1" applyAlignment="1"/>
    <xf numFmtId="38" fontId="10" fillId="12" borderId="178" xfId="1" applyFont="1" applyFill="1" applyBorder="1" applyProtection="1">
      <alignment vertical="center"/>
    </xf>
    <xf numFmtId="38" fontId="10" fillId="12" borderId="333" xfId="1" applyFont="1" applyFill="1" applyBorder="1" applyProtection="1">
      <alignment vertical="center"/>
    </xf>
    <xf numFmtId="38" fontId="10" fillId="12" borderId="217" xfId="1" applyFont="1" applyFill="1" applyBorder="1" applyProtection="1">
      <alignment vertical="center"/>
    </xf>
    <xf numFmtId="38" fontId="10" fillId="0" borderId="28" xfId="1" applyFont="1" applyFill="1" applyBorder="1" applyProtection="1">
      <alignment vertical="center"/>
    </xf>
    <xf numFmtId="0" fontId="10" fillId="11" borderId="335" xfId="1" applyNumberFormat="1" applyFont="1" applyFill="1" applyBorder="1" applyAlignment="1" applyProtection="1">
      <alignment horizontal="right" vertical="center"/>
    </xf>
    <xf numFmtId="0" fontId="10" fillId="11" borderId="324" xfId="1" applyNumberFormat="1" applyFont="1" applyFill="1" applyBorder="1" applyAlignment="1" applyProtection="1">
      <alignment horizontal="right" vertical="center"/>
    </xf>
    <xf numFmtId="38" fontId="10" fillId="4" borderId="4" xfId="1" applyFont="1" applyFill="1" applyBorder="1" applyAlignment="1" applyProtection="1">
      <alignment vertical="center"/>
    </xf>
    <xf numFmtId="193" fontId="10" fillId="4" borderId="2" xfId="1" applyNumberFormat="1" applyFont="1" applyFill="1" applyBorder="1" applyAlignment="1" applyProtection="1">
      <alignment horizontal="right" vertical="center"/>
    </xf>
    <xf numFmtId="194" fontId="10" fillId="4" borderId="3" xfId="1" applyNumberFormat="1" applyFont="1" applyFill="1" applyBorder="1" applyAlignment="1" applyProtection="1">
      <alignment horizontal="right" vertical="center"/>
    </xf>
    <xf numFmtId="0" fontId="10" fillId="4" borderId="3" xfId="1" applyNumberFormat="1" applyFont="1" applyFill="1" applyBorder="1" applyAlignment="1" applyProtection="1">
      <alignment horizontal="right" vertical="center"/>
    </xf>
    <xf numFmtId="195" fontId="10" fillId="4" borderId="3" xfId="1" applyNumberFormat="1" applyFont="1" applyFill="1" applyBorder="1" applyAlignment="1" applyProtection="1">
      <alignment horizontal="right" vertical="center"/>
    </xf>
    <xf numFmtId="0" fontId="10" fillId="4" borderId="1" xfId="1" applyNumberFormat="1" applyFont="1" applyFill="1" applyBorder="1" applyAlignment="1" applyProtection="1">
      <alignment horizontal="center" vertical="center"/>
    </xf>
    <xf numFmtId="38" fontId="10" fillId="8" borderId="1" xfId="1" applyFont="1" applyFill="1" applyBorder="1" applyProtection="1">
      <alignment vertical="center"/>
    </xf>
    <xf numFmtId="176" fontId="10" fillId="8" borderId="1" xfId="1" applyNumberFormat="1" applyFont="1" applyFill="1" applyBorder="1" applyProtection="1">
      <alignment vertical="center"/>
    </xf>
    <xf numFmtId="38" fontId="10" fillId="8" borderId="1" xfId="1" applyFont="1" applyFill="1" applyBorder="1" applyAlignment="1" applyProtection="1">
      <alignment horizontal="center" vertical="center"/>
    </xf>
    <xf numFmtId="38" fontId="10" fillId="0" borderId="0" xfId="1" applyFont="1" applyFill="1" applyBorder="1" applyAlignment="1" applyProtection="1">
      <alignment horizontal="center" vertical="center"/>
    </xf>
    <xf numFmtId="38" fontId="10" fillId="0" borderId="0" xfId="1" applyFont="1" applyFill="1" applyBorder="1" applyAlignment="1" applyProtection="1">
      <alignment vertical="center"/>
    </xf>
    <xf numFmtId="193" fontId="10" fillId="0" borderId="0" xfId="1" applyNumberFormat="1" applyFont="1" applyFill="1" applyBorder="1" applyAlignment="1" applyProtection="1">
      <alignment horizontal="right" vertical="center"/>
    </xf>
    <xf numFmtId="194" fontId="10" fillId="0" borderId="0" xfId="1" applyNumberFormat="1" applyFont="1" applyFill="1" applyBorder="1" applyAlignment="1" applyProtection="1">
      <alignment horizontal="right" vertical="center"/>
    </xf>
    <xf numFmtId="0" fontId="10" fillId="0" borderId="0" xfId="1" applyNumberFormat="1" applyFont="1" applyFill="1" applyBorder="1" applyAlignment="1" applyProtection="1">
      <alignment horizontal="right" vertical="center"/>
    </xf>
    <xf numFmtId="195" fontId="10" fillId="0" borderId="0" xfId="1" applyNumberFormat="1" applyFont="1" applyFill="1" applyBorder="1" applyAlignment="1" applyProtection="1">
      <alignment horizontal="right" vertical="center"/>
    </xf>
    <xf numFmtId="0" fontId="10" fillId="0" borderId="0" xfId="1" applyNumberFormat="1" applyFont="1" applyFill="1" applyBorder="1" applyAlignment="1" applyProtection="1">
      <alignment horizontal="center" vertical="center"/>
    </xf>
    <xf numFmtId="38" fontId="10" fillId="0" borderId="0" xfId="1" applyFont="1" applyFill="1" applyBorder="1" applyProtection="1">
      <alignment vertical="center"/>
    </xf>
    <xf numFmtId="176" fontId="10" fillId="0" borderId="0" xfId="1" applyNumberFormat="1" applyFont="1" applyFill="1" applyBorder="1" applyProtection="1">
      <alignment vertical="center"/>
    </xf>
    <xf numFmtId="38" fontId="49" fillId="0" borderId="0" xfId="1" applyFont="1" applyFill="1" applyProtection="1">
      <alignment vertical="center"/>
    </xf>
    <xf numFmtId="0" fontId="10" fillId="0" borderId="0" xfId="1" applyNumberFormat="1" applyFont="1" applyAlignment="1" applyProtection="1">
      <alignment horizontal="right" vertical="center"/>
    </xf>
    <xf numFmtId="0" fontId="10" fillId="0" borderId="0" xfId="1" applyNumberFormat="1" applyFont="1" applyAlignment="1" applyProtection="1">
      <alignment horizontal="center" vertical="center"/>
    </xf>
    <xf numFmtId="0" fontId="10" fillId="0" borderId="0" xfId="1" applyNumberFormat="1" applyFont="1" applyFill="1" applyAlignment="1" applyProtection="1">
      <alignment horizontal="center" vertical="center"/>
    </xf>
    <xf numFmtId="176" fontId="10" fillId="0" borderId="0" xfId="1" applyNumberFormat="1" applyFont="1" applyFill="1" applyProtection="1">
      <alignment vertical="center"/>
    </xf>
    <xf numFmtId="38" fontId="10" fillId="0" borderId="0" xfId="1" applyFont="1" applyFill="1" applyBorder="1" applyAlignment="1" applyProtection="1">
      <alignment horizontal="right" vertical="center" wrapText="1"/>
    </xf>
    <xf numFmtId="195" fontId="10" fillId="0" borderId="0" xfId="1" applyNumberFormat="1" applyFont="1" applyFill="1" applyBorder="1" applyAlignment="1" applyProtection="1">
      <alignment horizontal="right" vertical="center" wrapText="1"/>
    </xf>
    <xf numFmtId="0" fontId="10" fillId="0" borderId="0" xfId="1" applyNumberFormat="1" applyFont="1" applyFill="1" applyBorder="1" applyAlignment="1" applyProtection="1">
      <alignment horizontal="left" vertical="center"/>
    </xf>
    <xf numFmtId="38" fontId="10" fillId="0" borderId="323" xfId="1" applyFont="1" applyFill="1" applyBorder="1" applyProtection="1">
      <alignment vertical="center"/>
    </xf>
    <xf numFmtId="193" fontId="10" fillId="0" borderId="0" xfId="1" applyNumberFormat="1" applyFont="1" applyAlignment="1" applyProtection="1">
      <alignment horizontal="right" vertical="center"/>
    </xf>
    <xf numFmtId="194" fontId="10" fillId="0" borderId="0" xfId="1" applyNumberFormat="1" applyFont="1" applyAlignment="1" applyProtection="1">
      <alignment horizontal="right" vertical="center"/>
    </xf>
    <xf numFmtId="195" fontId="10" fillId="0" borderId="0" xfId="1" applyNumberFormat="1" applyFont="1" applyAlignment="1" applyProtection="1">
      <alignment horizontal="right" vertical="center"/>
    </xf>
    <xf numFmtId="38" fontId="10" fillId="2" borderId="326" xfId="1" applyFont="1" applyFill="1" applyBorder="1" applyProtection="1">
      <alignment vertical="center"/>
    </xf>
    <xf numFmtId="38" fontId="10" fillId="2" borderId="184" xfId="1" applyFont="1" applyFill="1" applyBorder="1" applyProtection="1">
      <alignment vertical="center"/>
    </xf>
    <xf numFmtId="38" fontId="10" fillId="2" borderId="178" xfId="1" applyFont="1" applyFill="1" applyBorder="1" applyProtection="1">
      <alignment vertical="center"/>
    </xf>
    <xf numFmtId="38" fontId="10" fillId="2" borderId="189" xfId="1" applyFont="1" applyFill="1" applyBorder="1" applyProtection="1">
      <alignment vertical="center"/>
    </xf>
    <xf numFmtId="38" fontId="10" fillId="0" borderId="0" xfId="1" applyFont="1" applyBorder="1" applyProtection="1">
      <alignment vertical="center"/>
    </xf>
    <xf numFmtId="38" fontId="10" fillId="2" borderId="28" xfId="1" applyFont="1" applyFill="1" applyBorder="1" applyProtection="1">
      <alignment vertical="center"/>
    </xf>
    <xf numFmtId="38" fontId="10" fillId="0" borderId="330" xfId="1" applyFont="1" applyFill="1" applyBorder="1">
      <alignment vertical="center"/>
    </xf>
    <xf numFmtId="38" fontId="10" fillId="2" borderId="328" xfId="1" applyFont="1" applyFill="1" applyBorder="1" applyProtection="1">
      <alignment vertical="center"/>
    </xf>
    <xf numFmtId="38" fontId="10" fillId="2" borderId="339" xfId="1" applyFont="1" applyFill="1" applyBorder="1" applyProtection="1">
      <alignment vertical="center"/>
    </xf>
    <xf numFmtId="38" fontId="10" fillId="2" borderId="167" xfId="1" applyFont="1" applyFill="1" applyBorder="1" applyProtection="1">
      <alignment vertical="center"/>
    </xf>
    <xf numFmtId="38" fontId="10" fillId="2" borderId="208" xfId="1" applyFont="1" applyFill="1" applyBorder="1" applyProtection="1">
      <alignment vertical="center"/>
    </xf>
    <xf numFmtId="38" fontId="10" fillId="2" borderId="222" xfId="1" applyFont="1" applyFill="1" applyBorder="1" applyProtection="1">
      <alignment vertical="center"/>
    </xf>
    <xf numFmtId="38" fontId="10" fillId="4" borderId="3" xfId="1" applyFont="1" applyFill="1" applyBorder="1" applyAlignment="1" applyProtection="1">
      <alignment vertical="center"/>
    </xf>
    <xf numFmtId="38" fontId="10" fillId="8" borderId="4" xfId="1" applyFont="1" applyFill="1" applyBorder="1" applyAlignment="1" applyProtection="1">
      <alignment vertical="center"/>
    </xf>
    <xf numFmtId="40" fontId="10" fillId="0" borderId="0" xfId="1" applyNumberFormat="1" applyFont="1" applyBorder="1" applyProtection="1">
      <alignment vertical="center"/>
    </xf>
    <xf numFmtId="176" fontId="10" fillId="0" borderId="0" xfId="1" applyNumberFormat="1" applyFont="1" applyBorder="1" applyProtection="1">
      <alignment vertical="center"/>
    </xf>
    <xf numFmtId="38" fontId="10" fillId="2" borderId="0" xfId="1" applyFont="1" applyFill="1" applyProtection="1">
      <alignment vertical="center"/>
    </xf>
    <xf numFmtId="38" fontId="49" fillId="12" borderId="336" xfId="1" applyFont="1" applyFill="1" applyBorder="1" applyProtection="1">
      <alignment vertical="center"/>
    </xf>
    <xf numFmtId="38" fontId="10" fillId="12" borderId="224" xfId="1" applyFont="1" applyFill="1" applyBorder="1" applyProtection="1">
      <alignment vertical="center"/>
    </xf>
    <xf numFmtId="38" fontId="10" fillId="11" borderId="323" xfId="1" applyFont="1" applyFill="1" applyBorder="1" applyProtection="1">
      <alignment vertical="center"/>
    </xf>
    <xf numFmtId="38" fontId="49" fillId="12" borderId="323" xfId="1" applyFont="1" applyFill="1" applyBorder="1" applyProtection="1">
      <alignment vertical="center"/>
    </xf>
    <xf numFmtId="38" fontId="10" fillId="2" borderId="53" xfId="1" applyFont="1" applyFill="1" applyBorder="1" applyProtection="1">
      <alignment vertical="center"/>
    </xf>
    <xf numFmtId="38" fontId="10" fillId="0" borderId="53" xfId="1" applyFont="1" applyBorder="1" applyProtection="1">
      <alignment vertical="center"/>
    </xf>
    <xf numFmtId="38" fontId="10" fillId="0" borderId="339" xfId="1" applyFont="1" applyBorder="1" applyProtection="1">
      <alignment vertical="center"/>
    </xf>
    <xf numFmtId="38" fontId="10" fillId="11" borderId="154" xfId="1" applyFont="1" applyFill="1" applyBorder="1" applyProtection="1">
      <alignment vertical="center"/>
    </xf>
    <xf numFmtId="38" fontId="10" fillId="12" borderId="55" xfId="1" applyFont="1" applyFill="1" applyBorder="1" applyProtection="1">
      <alignment vertical="center"/>
    </xf>
    <xf numFmtId="192" fontId="10" fillId="0" borderId="0" xfId="1" applyNumberFormat="1" applyFont="1" applyProtection="1">
      <alignment vertical="center"/>
    </xf>
    <xf numFmtId="38" fontId="0" fillId="0" borderId="0" xfId="1" applyFont="1">
      <alignment vertical="center"/>
    </xf>
    <xf numFmtId="192" fontId="10" fillId="0" borderId="326" xfId="1" applyNumberFormat="1" applyFont="1" applyFill="1" applyBorder="1" applyProtection="1">
      <alignment vertical="center"/>
    </xf>
    <xf numFmtId="192" fontId="10" fillId="0" borderId="184" xfId="1" applyNumberFormat="1" applyFont="1" applyFill="1" applyBorder="1" applyProtection="1">
      <alignment vertical="center"/>
    </xf>
    <xf numFmtId="192" fontId="10" fillId="0" borderId="189" xfId="1" applyNumberFormat="1" applyFont="1" applyFill="1" applyBorder="1" applyProtection="1">
      <alignment vertical="center"/>
    </xf>
    <xf numFmtId="192" fontId="10" fillId="12" borderId="336" xfId="1" applyNumberFormat="1" applyFont="1" applyFill="1" applyBorder="1" applyProtection="1">
      <alignment vertical="center"/>
    </xf>
    <xf numFmtId="192" fontId="10" fillId="12" borderId="323" xfId="1" applyNumberFormat="1" applyFont="1" applyFill="1" applyBorder="1" applyProtection="1">
      <alignment vertical="center"/>
    </xf>
    <xf numFmtId="192" fontId="10" fillId="0" borderId="178" xfId="1" applyNumberFormat="1" applyFont="1" applyFill="1" applyBorder="1" applyProtection="1">
      <alignment vertical="center"/>
    </xf>
    <xf numFmtId="192" fontId="10" fillId="0" borderId="339" xfId="1" applyNumberFormat="1" applyFont="1" applyFill="1" applyBorder="1" applyProtection="1">
      <alignment vertical="center"/>
    </xf>
    <xf numFmtId="192" fontId="10" fillId="0" borderId="328" xfId="1" applyNumberFormat="1" applyFont="1" applyFill="1" applyBorder="1" applyProtection="1">
      <alignment vertical="center"/>
    </xf>
    <xf numFmtId="192" fontId="10" fillId="8" borderId="1" xfId="1" applyNumberFormat="1" applyFont="1" applyFill="1" applyBorder="1" applyProtection="1">
      <alignment vertical="center"/>
    </xf>
    <xf numFmtId="192" fontId="10" fillId="0" borderId="0" xfId="1" applyNumberFormat="1" applyFont="1" applyBorder="1" applyProtection="1">
      <alignment vertical="center"/>
    </xf>
    <xf numFmtId="38" fontId="22" fillId="0" borderId="0" xfId="1" applyFont="1" applyProtection="1">
      <alignment vertical="center"/>
    </xf>
    <xf numFmtId="38" fontId="26" fillId="0" borderId="0" xfId="1" applyFont="1" applyAlignment="1" applyProtection="1">
      <alignment horizontal="center" vertical="center" wrapText="1"/>
    </xf>
    <xf numFmtId="176" fontId="10" fillId="0" borderId="344" xfId="1" applyNumberFormat="1" applyFont="1" applyFill="1" applyBorder="1" applyProtection="1">
      <alignment vertical="center"/>
    </xf>
    <xf numFmtId="38" fontId="10" fillId="0" borderId="345" xfId="1" applyFont="1" applyFill="1" applyBorder="1" applyProtection="1">
      <alignment vertical="center"/>
    </xf>
    <xf numFmtId="176" fontId="10" fillId="0" borderId="346" xfId="1" applyNumberFormat="1" applyFont="1" applyFill="1" applyBorder="1" applyProtection="1">
      <alignment vertical="center"/>
    </xf>
    <xf numFmtId="38" fontId="10" fillId="0" borderId="347" xfId="1" applyFont="1" applyFill="1" applyBorder="1" applyProtection="1">
      <alignment vertical="center"/>
    </xf>
    <xf numFmtId="176" fontId="10" fillId="0" borderId="348" xfId="1" applyNumberFormat="1" applyFont="1" applyFill="1" applyBorder="1" applyProtection="1">
      <alignment vertical="center"/>
    </xf>
    <xf numFmtId="38" fontId="10" fillId="0" borderId="349" xfId="1" applyFont="1" applyFill="1" applyBorder="1" applyProtection="1">
      <alignment vertical="center"/>
    </xf>
    <xf numFmtId="38" fontId="10" fillId="12" borderId="334" xfId="1" applyFont="1" applyFill="1" applyBorder="1" applyProtection="1">
      <alignment vertical="center"/>
    </xf>
    <xf numFmtId="176" fontId="10" fillId="12" borderId="350" xfId="1" applyNumberFormat="1" applyFont="1" applyFill="1" applyBorder="1" applyProtection="1">
      <alignment vertical="center"/>
    </xf>
    <xf numFmtId="176" fontId="10" fillId="12" borderId="351" xfId="1" applyNumberFormat="1" applyFont="1" applyFill="1" applyBorder="1" applyProtection="1">
      <alignment vertical="center"/>
    </xf>
    <xf numFmtId="38" fontId="10" fillId="12" borderId="352" xfId="1" applyFont="1" applyFill="1" applyBorder="1" applyProtection="1">
      <alignment vertical="center"/>
    </xf>
    <xf numFmtId="176" fontId="10" fillId="0" borderId="28" xfId="1" applyNumberFormat="1" applyFont="1" applyFill="1" applyBorder="1" applyProtection="1">
      <alignment vertical="center"/>
    </xf>
    <xf numFmtId="176" fontId="10" fillId="0" borderId="354" xfId="1" applyNumberFormat="1" applyFont="1" applyFill="1" applyBorder="1" applyProtection="1">
      <alignment vertical="center"/>
    </xf>
    <xf numFmtId="38" fontId="10" fillId="0" borderId="355" xfId="1" applyFont="1" applyFill="1" applyBorder="1" applyProtection="1">
      <alignment vertical="center"/>
    </xf>
    <xf numFmtId="38" fontId="10" fillId="0" borderId="353" xfId="1" applyFont="1" applyFill="1" applyBorder="1" applyProtection="1">
      <alignment vertical="center"/>
    </xf>
    <xf numFmtId="176" fontId="10" fillId="8" borderId="21" xfId="1" applyNumberFormat="1" applyFont="1" applyFill="1" applyBorder="1" applyProtection="1">
      <alignment vertical="center"/>
    </xf>
    <xf numFmtId="199" fontId="10" fillId="0" borderId="0" xfId="1" applyNumberFormat="1" applyFont="1" applyBorder="1" applyProtection="1">
      <alignment vertical="center"/>
    </xf>
    <xf numFmtId="40" fontId="10" fillId="0" borderId="0" xfId="1" applyNumberFormat="1" applyFont="1" applyFill="1" applyProtection="1">
      <alignment vertical="center"/>
    </xf>
    <xf numFmtId="176" fontId="10" fillId="2" borderId="326" xfId="1" applyNumberFormat="1" applyFont="1" applyFill="1" applyBorder="1" applyProtection="1">
      <alignment vertical="center"/>
    </xf>
    <xf numFmtId="40" fontId="10" fillId="2" borderId="326" xfId="1" applyNumberFormat="1" applyFont="1" applyFill="1" applyBorder="1" applyProtection="1">
      <alignment vertical="center"/>
    </xf>
    <xf numFmtId="176" fontId="10" fillId="2" borderId="184" xfId="1" applyNumberFormat="1" applyFont="1" applyFill="1" applyBorder="1" applyProtection="1">
      <alignment vertical="center"/>
    </xf>
    <xf numFmtId="40" fontId="10" fillId="2" borderId="184" xfId="1" applyNumberFormat="1" applyFont="1" applyFill="1" applyBorder="1" applyProtection="1">
      <alignment vertical="center"/>
    </xf>
    <xf numFmtId="176" fontId="10" fillId="2" borderId="189" xfId="1" applyNumberFormat="1" applyFont="1" applyFill="1" applyBorder="1" applyProtection="1">
      <alignment vertical="center"/>
    </xf>
    <xf numFmtId="40" fontId="10" fillId="2" borderId="189" xfId="1" applyNumberFormat="1" applyFont="1" applyFill="1" applyBorder="1" applyProtection="1">
      <alignment vertical="center"/>
    </xf>
    <xf numFmtId="38" fontId="10" fillId="11" borderId="336" xfId="1" applyFont="1" applyFill="1" applyBorder="1" applyProtection="1">
      <alignment vertical="center"/>
    </xf>
    <xf numFmtId="176" fontId="10" fillId="11" borderId="336" xfId="1" applyNumberFormat="1" applyFont="1" applyFill="1" applyBorder="1" applyProtection="1">
      <alignment vertical="center"/>
    </xf>
    <xf numFmtId="40" fontId="10" fillId="11" borderId="336" xfId="1" applyNumberFormat="1" applyFont="1" applyFill="1" applyBorder="1" applyProtection="1">
      <alignment vertical="center"/>
    </xf>
    <xf numFmtId="176" fontId="10" fillId="11" borderId="323" xfId="1" applyNumberFormat="1" applyFont="1" applyFill="1" applyBorder="1" applyProtection="1">
      <alignment vertical="center"/>
    </xf>
    <xf numFmtId="40" fontId="10" fillId="11" borderId="323" xfId="1" applyNumberFormat="1" applyFont="1" applyFill="1" applyBorder="1" applyProtection="1">
      <alignment vertical="center"/>
    </xf>
    <xf numFmtId="176" fontId="10" fillId="2" borderId="178" xfId="1" applyNumberFormat="1" applyFont="1" applyFill="1" applyBorder="1" applyProtection="1">
      <alignment vertical="center"/>
    </xf>
    <xf numFmtId="40" fontId="10" fillId="2" borderId="178" xfId="1" applyNumberFormat="1" applyFont="1" applyFill="1" applyBorder="1" applyProtection="1">
      <alignment vertical="center"/>
    </xf>
    <xf numFmtId="176" fontId="10" fillId="2" borderId="339" xfId="1" applyNumberFormat="1" applyFont="1" applyFill="1" applyBorder="1" applyProtection="1">
      <alignment vertical="center"/>
    </xf>
    <xf numFmtId="40" fontId="10" fillId="2" borderId="339" xfId="1" applyNumberFormat="1" applyFont="1" applyFill="1" applyBorder="1" applyProtection="1">
      <alignment vertical="center"/>
    </xf>
    <xf numFmtId="38" fontId="10" fillId="4" borderId="1" xfId="1" applyFont="1" applyFill="1" applyBorder="1" applyProtection="1">
      <alignment vertical="center"/>
    </xf>
    <xf numFmtId="176" fontId="10" fillId="4" borderId="1" xfId="1" applyNumberFormat="1" applyFont="1" applyFill="1" applyBorder="1" applyProtection="1">
      <alignment vertical="center"/>
    </xf>
    <xf numFmtId="40" fontId="10" fillId="4" borderId="1" xfId="1" applyNumberFormat="1" applyFont="1" applyFill="1" applyBorder="1" applyProtection="1">
      <alignment vertical="center"/>
    </xf>
    <xf numFmtId="40" fontId="10" fillId="0" borderId="0" xfId="1" applyNumberFormat="1" applyFont="1" applyFill="1" applyBorder="1" applyProtection="1">
      <alignment vertical="center"/>
    </xf>
    <xf numFmtId="40" fontId="10" fillId="0" borderId="0" xfId="1" applyNumberFormat="1" applyFont="1" applyProtection="1">
      <alignment vertical="center"/>
    </xf>
    <xf numFmtId="176" fontId="10" fillId="4" borderId="45" xfId="1" applyNumberFormat="1" applyFont="1" applyFill="1" applyBorder="1" applyAlignment="1" applyProtection="1">
      <alignment horizontal="center" vertical="center" wrapText="1"/>
    </xf>
    <xf numFmtId="176" fontId="10" fillId="12" borderId="334" xfId="1" applyNumberFormat="1" applyFont="1" applyFill="1" applyBorder="1" applyProtection="1">
      <alignment vertical="center"/>
    </xf>
    <xf numFmtId="176" fontId="10" fillId="12" borderId="224" xfId="1" applyNumberFormat="1" applyFont="1" applyFill="1" applyBorder="1" applyProtection="1">
      <alignment vertical="center"/>
    </xf>
    <xf numFmtId="38" fontId="10" fillId="2" borderId="356" xfId="1" applyFont="1" applyFill="1" applyBorder="1" applyProtection="1">
      <alignment vertical="center"/>
    </xf>
    <xf numFmtId="38" fontId="10" fillId="4" borderId="55" xfId="1" applyFont="1" applyFill="1" applyBorder="1" applyAlignment="1" applyProtection="1">
      <alignment horizontal="center" vertical="center"/>
    </xf>
    <xf numFmtId="38" fontId="10" fillId="4" borderId="47" xfId="1" applyFont="1" applyFill="1" applyBorder="1" applyAlignment="1" applyProtection="1">
      <alignment vertical="center"/>
    </xf>
    <xf numFmtId="38" fontId="10" fillId="8" borderId="154" xfId="1" applyFont="1" applyFill="1" applyBorder="1" applyAlignment="1" applyProtection="1">
      <alignment vertical="center"/>
    </xf>
    <xf numFmtId="176" fontId="10" fillId="8" borderId="154" xfId="1" applyNumberFormat="1" applyFont="1" applyFill="1" applyBorder="1" applyAlignment="1" applyProtection="1">
      <alignment vertical="center"/>
    </xf>
    <xf numFmtId="38" fontId="10" fillId="8" borderId="55" xfId="1" applyFont="1" applyFill="1" applyBorder="1" applyAlignment="1" applyProtection="1">
      <alignment vertical="center"/>
    </xf>
    <xf numFmtId="38" fontId="10" fillId="8" borderId="55" xfId="1" applyFont="1" applyFill="1" applyBorder="1" applyProtection="1">
      <alignment vertical="center"/>
    </xf>
    <xf numFmtId="176" fontId="10" fillId="8" borderId="55" xfId="1" applyNumberFormat="1" applyFont="1" applyFill="1" applyBorder="1" applyProtection="1">
      <alignment vertical="center"/>
    </xf>
    <xf numFmtId="38" fontId="7" fillId="0" borderId="0" xfId="1" applyFont="1">
      <alignment vertical="center"/>
    </xf>
    <xf numFmtId="38" fontId="5" fillId="0" borderId="0" xfId="1">
      <alignment vertical="center"/>
    </xf>
    <xf numFmtId="38" fontId="26" fillId="0" borderId="47" xfId="1" applyFont="1" applyBorder="1" applyAlignment="1">
      <alignment horizontal="center" vertical="center"/>
    </xf>
    <xf numFmtId="38" fontId="26" fillId="0" borderId="47" xfId="1" applyFont="1" applyBorder="1" applyAlignment="1">
      <alignment vertical="center"/>
    </xf>
    <xf numFmtId="38" fontId="5" fillId="0" borderId="0" xfId="1" applyFill="1">
      <alignment vertical="center"/>
    </xf>
    <xf numFmtId="38" fontId="26" fillId="0" borderId="0" xfId="1" applyFont="1" applyBorder="1" applyAlignment="1">
      <alignment vertical="center"/>
    </xf>
    <xf numFmtId="38" fontId="26" fillId="0" borderId="0" xfId="1" applyFont="1" applyAlignment="1">
      <alignment vertical="center"/>
    </xf>
    <xf numFmtId="38" fontId="26" fillId="0" borderId="0" xfId="1" applyFont="1" applyAlignment="1">
      <alignment horizontal="center" vertical="center" wrapText="1"/>
    </xf>
    <xf numFmtId="38" fontId="26" fillId="0" borderId="0" xfId="1" applyFont="1" applyFill="1">
      <alignment vertical="center"/>
    </xf>
    <xf numFmtId="38" fontId="26" fillId="2" borderId="144" xfId="1" applyFont="1" applyFill="1" applyBorder="1">
      <alignment vertical="center"/>
    </xf>
    <xf numFmtId="38" fontId="26" fillId="4" borderId="216" xfId="1" applyFont="1" applyFill="1" applyBorder="1" applyAlignment="1">
      <alignment vertical="center"/>
    </xf>
    <xf numFmtId="38" fontId="26" fillId="4" borderId="144" xfId="1" applyFont="1" applyFill="1" applyBorder="1" applyAlignment="1">
      <alignment vertical="center"/>
    </xf>
    <xf numFmtId="38" fontId="26" fillId="0" borderId="144" xfId="1" applyFont="1" applyFill="1" applyBorder="1">
      <alignment vertical="center"/>
    </xf>
    <xf numFmtId="38" fontId="26" fillId="0" borderId="357" xfId="1" applyFont="1" applyFill="1" applyBorder="1">
      <alignment vertical="center"/>
    </xf>
    <xf numFmtId="38" fontId="26" fillId="0" borderId="328" xfId="1" applyFont="1" applyFill="1" applyBorder="1">
      <alignment vertical="center"/>
    </xf>
    <xf numFmtId="38" fontId="26" fillId="8" borderId="223" xfId="1" applyFont="1" applyFill="1" applyBorder="1">
      <alignment vertical="center"/>
    </xf>
    <xf numFmtId="38" fontId="26" fillId="2" borderId="178" xfId="1" applyFont="1" applyFill="1" applyBorder="1">
      <alignment vertical="center"/>
    </xf>
    <xf numFmtId="38" fontId="26" fillId="2" borderId="164" xfId="1" applyFont="1" applyFill="1" applyBorder="1">
      <alignment vertical="center"/>
    </xf>
    <xf numFmtId="38" fontId="26" fillId="0" borderId="55" xfId="1" applyFont="1" applyFill="1" applyBorder="1">
      <alignment vertical="center"/>
    </xf>
    <xf numFmtId="38" fontId="26" fillId="8" borderId="55" xfId="1" applyFont="1" applyFill="1" applyBorder="1">
      <alignment vertical="center"/>
    </xf>
    <xf numFmtId="38" fontId="26" fillId="0" borderId="154" xfId="1" applyFont="1" applyFill="1" applyBorder="1">
      <alignment vertical="center"/>
    </xf>
    <xf numFmtId="179" fontId="26" fillId="0" borderId="1" xfId="1" applyNumberFormat="1" applyFont="1" applyFill="1" applyBorder="1">
      <alignment vertical="center"/>
    </xf>
    <xf numFmtId="38" fontId="26" fillId="0" borderId="4" xfId="1" applyFont="1" applyFill="1" applyBorder="1">
      <alignment vertical="center"/>
    </xf>
    <xf numFmtId="38" fontId="26" fillId="0" borderId="1" xfId="1" applyFont="1" applyFill="1" applyBorder="1" applyProtection="1">
      <alignment vertical="center"/>
    </xf>
    <xf numFmtId="40" fontId="26" fillId="0" borderId="0" xfId="1" applyNumberFormat="1" applyFont="1" applyFill="1">
      <alignment vertical="center"/>
    </xf>
    <xf numFmtId="40" fontId="26" fillId="0" borderId="55" xfId="1" applyNumberFormat="1" applyFont="1" applyFill="1" applyBorder="1">
      <alignment vertical="center"/>
    </xf>
    <xf numFmtId="40" fontId="26" fillId="0" borderId="0" xfId="1" applyNumberFormat="1" applyFont="1" applyAlignment="1">
      <alignment vertical="center" wrapText="1"/>
    </xf>
    <xf numFmtId="40" fontId="26" fillId="0" borderId="0" xfId="1" applyNumberFormat="1" applyFont="1" applyAlignment="1">
      <alignment horizontal="center" vertical="center"/>
    </xf>
    <xf numFmtId="38" fontId="8" fillId="0" borderId="0" xfId="2" applyFont="1" applyProtection="1">
      <alignment vertical="center"/>
    </xf>
    <xf numFmtId="38" fontId="8" fillId="0" borderId="0" xfId="2" applyFont="1" applyFill="1" applyProtection="1">
      <alignment vertical="center"/>
    </xf>
    <xf numFmtId="38" fontId="8" fillId="0" borderId="0" xfId="2" applyFont="1" applyAlignment="1" applyProtection="1">
      <alignment horizontal="center" vertical="center"/>
    </xf>
    <xf numFmtId="176" fontId="8" fillId="0" borderId="0" xfId="2" applyNumberFormat="1" applyFont="1" applyAlignment="1" applyProtection="1">
      <alignment horizontal="right" vertical="center"/>
    </xf>
    <xf numFmtId="176" fontId="8" fillId="0" borderId="0" xfId="2" applyNumberFormat="1" applyFont="1" applyProtection="1">
      <alignment vertical="center"/>
    </xf>
    <xf numFmtId="38" fontId="10" fillId="0" borderId="0" xfId="2" applyFont="1" applyProtection="1">
      <alignment vertical="center"/>
    </xf>
    <xf numFmtId="38" fontId="10" fillId="0" borderId="0" xfId="2" applyFont="1" applyFill="1" applyProtection="1">
      <alignment vertical="center"/>
    </xf>
    <xf numFmtId="38" fontId="10" fillId="0" borderId="0" xfId="2" applyFont="1" applyAlignment="1" applyProtection="1">
      <alignment horizontal="center" vertical="center"/>
    </xf>
    <xf numFmtId="176" fontId="10" fillId="0" borderId="0" xfId="2" applyNumberFormat="1" applyFont="1" applyAlignment="1" applyProtection="1">
      <alignment horizontal="right" vertical="center"/>
    </xf>
    <xf numFmtId="38" fontId="26" fillId="0" borderId="0" xfId="2" applyFont="1" applyAlignment="1" applyProtection="1">
      <alignment horizontal="center" vertical="center"/>
    </xf>
    <xf numFmtId="38" fontId="26" fillId="0" borderId="0" xfId="2" applyFont="1" applyProtection="1">
      <alignment vertical="center"/>
    </xf>
    <xf numFmtId="38" fontId="10" fillId="0" borderId="0" xfId="2" applyFont="1" applyFill="1" applyAlignment="1" applyProtection="1">
      <alignment horizontal="center" vertical="center" wrapText="1"/>
    </xf>
    <xf numFmtId="38" fontId="10" fillId="0" borderId="326" xfId="2" applyFont="1" applyFill="1" applyBorder="1">
      <alignment vertical="center"/>
    </xf>
    <xf numFmtId="38" fontId="10" fillId="0" borderId="326" xfId="2" applyFont="1" applyFill="1" applyBorder="1" applyAlignment="1">
      <alignment horizontal="center" vertical="center"/>
    </xf>
    <xf numFmtId="0" fontId="10" fillId="0" borderId="326" xfId="2" applyNumberFormat="1" applyFont="1" applyFill="1" applyBorder="1">
      <alignment vertical="center"/>
    </xf>
    <xf numFmtId="0" fontId="10" fillId="0" borderId="326" xfId="2" applyNumberFormat="1" applyFont="1" applyFill="1" applyBorder="1" applyAlignment="1">
      <alignment horizontal="right" vertical="center"/>
    </xf>
    <xf numFmtId="38" fontId="10" fillId="0" borderId="326" xfId="2" applyFont="1" applyFill="1" applyBorder="1" applyAlignment="1">
      <alignment horizontal="right" vertical="center"/>
    </xf>
    <xf numFmtId="38" fontId="10" fillId="0" borderId="184" xfId="2" applyFont="1" applyFill="1" applyBorder="1">
      <alignment vertical="center"/>
    </xf>
    <xf numFmtId="38" fontId="10" fillId="0" borderId="328" xfId="2" applyFont="1" applyFill="1" applyBorder="1">
      <alignment vertical="center"/>
    </xf>
    <xf numFmtId="38" fontId="10" fillId="0" borderId="328" xfId="2" applyFont="1" applyFill="1" applyBorder="1" applyAlignment="1">
      <alignment horizontal="center" vertical="center"/>
    </xf>
    <xf numFmtId="0" fontId="10" fillId="0" borderId="328" xfId="2" applyNumberFormat="1" applyFont="1" applyFill="1" applyBorder="1">
      <alignment vertical="center"/>
    </xf>
    <xf numFmtId="0" fontId="10" fillId="0" borderId="328" xfId="2" applyNumberFormat="1" applyFont="1" applyFill="1" applyBorder="1" applyAlignment="1">
      <alignment horizontal="right" vertical="center"/>
    </xf>
    <xf numFmtId="38" fontId="10" fillId="0" borderId="184" xfId="2" applyFont="1" applyFill="1" applyBorder="1" applyAlignment="1">
      <alignment horizontal="center" vertical="center"/>
    </xf>
    <xf numFmtId="38" fontId="10" fillId="0" borderId="323" xfId="2" applyFont="1" applyFill="1" applyBorder="1">
      <alignment vertical="center"/>
    </xf>
    <xf numFmtId="38" fontId="10" fillId="0" borderId="323" xfId="2" applyFont="1" applyFill="1" applyBorder="1" applyAlignment="1">
      <alignment horizontal="center" vertical="center"/>
    </xf>
    <xf numFmtId="0" fontId="10" fillId="0" borderId="323" xfId="2" applyNumberFormat="1" applyFont="1" applyFill="1" applyBorder="1">
      <alignment vertical="center"/>
    </xf>
    <xf numFmtId="0" fontId="10" fillId="0" borderId="323" xfId="2" applyNumberFormat="1" applyFont="1" applyFill="1" applyBorder="1" applyAlignment="1">
      <alignment horizontal="right" vertical="center"/>
    </xf>
    <xf numFmtId="38" fontId="10" fillId="0" borderId="178" xfId="2" applyFont="1" applyFill="1" applyBorder="1">
      <alignment vertical="center"/>
    </xf>
    <xf numFmtId="38" fontId="10" fillId="0" borderId="178" xfId="2" applyFont="1" applyFill="1" applyBorder="1" applyAlignment="1">
      <alignment horizontal="center" vertical="center"/>
    </xf>
    <xf numFmtId="0" fontId="10" fillId="0" borderId="178" xfId="2" applyNumberFormat="1" applyFont="1" applyFill="1" applyBorder="1">
      <alignment vertical="center"/>
    </xf>
    <xf numFmtId="0" fontId="10" fillId="0" borderId="178" xfId="2" applyNumberFormat="1" applyFont="1" applyFill="1" applyBorder="1" applyAlignment="1">
      <alignment horizontal="right" vertical="center"/>
    </xf>
    <xf numFmtId="38" fontId="10" fillId="0" borderId="323" xfId="2" applyFont="1" applyFill="1" applyBorder="1" applyAlignment="1">
      <alignment horizontal="right" vertical="center"/>
    </xf>
    <xf numFmtId="38" fontId="10" fillId="0" borderId="343" xfId="2" applyFont="1" applyFill="1" applyBorder="1" applyProtection="1">
      <alignment vertical="center"/>
    </xf>
    <xf numFmtId="38" fontId="10" fillId="0" borderId="53" xfId="2" applyFont="1" applyFill="1" applyBorder="1">
      <alignment vertical="center"/>
    </xf>
    <xf numFmtId="0" fontId="10" fillId="0" borderId="53" xfId="2" applyNumberFormat="1" applyFont="1" applyFill="1" applyBorder="1" applyAlignment="1">
      <alignment horizontal="right" vertical="center"/>
    </xf>
    <xf numFmtId="38" fontId="10" fillId="0" borderId="28" xfId="2" applyFont="1" applyFill="1" applyBorder="1">
      <alignment vertical="center"/>
    </xf>
    <xf numFmtId="38" fontId="10" fillId="0" borderId="1" xfId="2" applyFont="1" applyFill="1" applyBorder="1">
      <alignment vertical="center"/>
    </xf>
    <xf numFmtId="38" fontId="10" fillId="0" borderId="1" xfId="2" applyFont="1" applyFill="1" applyBorder="1" applyAlignment="1">
      <alignment horizontal="center" vertical="center"/>
    </xf>
    <xf numFmtId="0" fontId="10" fillId="0" borderId="1" xfId="2" applyNumberFormat="1" applyFont="1" applyFill="1" applyBorder="1">
      <alignment vertical="center"/>
    </xf>
    <xf numFmtId="0" fontId="10" fillId="0" borderId="1" xfId="2" applyNumberFormat="1" applyFont="1" applyFill="1" applyBorder="1" applyAlignment="1">
      <alignment horizontal="right" vertical="center"/>
    </xf>
    <xf numFmtId="38" fontId="10" fillId="0" borderId="55" xfId="2" applyFont="1" applyFill="1" applyBorder="1">
      <alignment vertical="center"/>
    </xf>
    <xf numFmtId="0" fontId="10" fillId="0" borderId="55" xfId="2" applyNumberFormat="1" applyFont="1" applyFill="1" applyBorder="1">
      <alignment vertical="center"/>
    </xf>
    <xf numFmtId="0" fontId="10" fillId="0" borderId="55" xfId="2" applyNumberFormat="1" applyFont="1" applyFill="1" applyBorder="1" applyAlignment="1">
      <alignment horizontal="right" vertical="center"/>
    </xf>
    <xf numFmtId="0" fontId="10" fillId="0" borderId="184" xfId="2" applyNumberFormat="1" applyFont="1" applyFill="1" applyBorder="1">
      <alignment vertical="center"/>
    </xf>
    <xf numFmtId="0" fontId="10" fillId="0" borderId="184" xfId="2" applyNumberFormat="1" applyFont="1" applyFill="1" applyBorder="1" applyAlignment="1">
      <alignment horizontal="right" vertical="center"/>
    </xf>
    <xf numFmtId="38" fontId="10" fillId="0" borderId="178" xfId="2" applyFont="1" applyFill="1" applyBorder="1" applyAlignment="1">
      <alignment horizontal="right" vertical="center"/>
    </xf>
    <xf numFmtId="0" fontId="10" fillId="0" borderId="53" xfId="2" applyNumberFormat="1" applyFont="1" applyFill="1" applyBorder="1">
      <alignment vertical="center"/>
    </xf>
    <xf numFmtId="38" fontId="10" fillId="11" borderId="333" xfId="2" applyFont="1" applyFill="1" applyBorder="1" applyProtection="1">
      <alignment vertical="center"/>
    </xf>
    <xf numFmtId="38" fontId="10" fillId="12" borderId="335" xfId="2" applyFont="1" applyFill="1" applyBorder="1" applyAlignment="1" applyProtection="1">
      <alignment vertical="center" wrapText="1"/>
    </xf>
    <xf numFmtId="38" fontId="10" fillId="12" borderId="336" xfId="2" applyFont="1" applyFill="1" applyBorder="1" applyProtection="1">
      <alignment vertical="center"/>
    </xf>
    <xf numFmtId="38" fontId="10" fillId="12" borderId="336" xfId="2" applyFont="1" applyFill="1" applyBorder="1" applyAlignment="1" applyProtection="1">
      <alignment horizontal="center" vertical="center"/>
    </xf>
    <xf numFmtId="38" fontId="10" fillId="12" borderId="333" xfId="2" applyFont="1" applyFill="1" applyBorder="1" applyProtection="1">
      <alignment vertical="center"/>
    </xf>
    <xf numFmtId="38" fontId="10" fillId="12" borderId="336" xfId="2" applyFont="1" applyFill="1" applyBorder="1" applyAlignment="1" applyProtection="1">
      <alignment horizontal="center" vertical="center" wrapText="1"/>
    </xf>
    <xf numFmtId="200" fontId="10" fillId="12" borderId="336" xfId="2" applyNumberFormat="1" applyFont="1" applyFill="1" applyBorder="1" applyAlignment="1" applyProtection="1">
      <alignment vertical="center" wrapText="1"/>
    </xf>
    <xf numFmtId="38" fontId="10" fillId="11" borderId="217" xfId="2" applyFont="1" applyFill="1" applyBorder="1" applyProtection="1">
      <alignment vertical="center"/>
    </xf>
    <xf numFmtId="38" fontId="10" fillId="12" borderId="324" xfId="2" applyFont="1" applyFill="1" applyBorder="1" applyAlignment="1" applyProtection="1">
      <alignment vertical="center" wrapText="1"/>
    </xf>
    <xf numFmtId="38" fontId="10" fillId="12" borderId="323" xfId="2" applyFont="1" applyFill="1" applyBorder="1" applyProtection="1">
      <alignment vertical="center"/>
    </xf>
    <xf numFmtId="38" fontId="10" fillId="12" borderId="323" xfId="2" applyFont="1" applyFill="1" applyBorder="1" applyAlignment="1" applyProtection="1">
      <alignment horizontal="center" vertical="center"/>
    </xf>
    <xf numFmtId="181" fontId="10" fillId="12" borderId="323" xfId="2" applyNumberFormat="1" applyFont="1" applyFill="1" applyBorder="1" applyAlignment="1" applyProtection="1">
      <alignment horizontal="right" vertical="center"/>
    </xf>
    <xf numFmtId="38" fontId="10" fillId="12" borderId="217" xfId="2" applyFont="1" applyFill="1" applyBorder="1" applyProtection="1">
      <alignment vertical="center"/>
    </xf>
    <xf numFmtId="176" fontId="10" fillId="12" borderId="323" xfId="2" applyNumberFormat="1" applyFont="1" applyFill="1" applyBorder="1" applyProtection="1">
      <alignment vertical="center"/>
    </xf>
    <xf numFmtId="38" fontId="10" fillId="12" borderId="323" xfId="2" applyFont="1" applyFill="1" applyBorder="1" applyAlignment="1" applyProtection="1">
      <alignment horizontal="center" vertical="center" wrapText="1"/>
    </xf>
    <xf numFmtId="38" fontId="10" fillId="2" borderId="178" xfId="2" applyFont="1" applyFill="1" applyBorder="1">
      <alignment vertical="center"/>
    </xf>
    <xf numFmtId="38" fontId="10" fillId="2" borderId="184" xfId="2" applyFont="1" applyFill="1" applyBorder="1">
      <alignment vertical="center"/>
    </xf>
    <xf numFmtId="38" fontId="10" fillId="2" borderId="184" xfId="2" applyFont="1" applyFill="1" applyBorder="1" applyAlignment="1">
      <alignment horizontal="center" vertical="center"/>
    </xf>
    <xf numFmtId="0" fontId="10" fillId="2" borderId="184" xfId="2" applyNumberFormat="1" applyFont="1" applyFill="1" applyBorder="1">
      <alignment vertical="center"/>
    </xf>
    <xf numFmtId="38" fontId="10" fillId="2" borderId="323" xfId="2" applyFont="1" applyFill="1" applyBorder="1">
      <alignment vertical="center"/>
    </xf>
    <xf numFmtId="38" fontId="10" fillId="2" borderId="323" xfId="2" applyFont="1" applyFill="1" applyBorder="1" applyAlignment="1">
      <alignment horizontal="center" vertical="center"/>
    </xf>
    <xf numFmtId="0" fontId="10" fillId="2" borderId="323" xfId="2" applyNumberFormat="1" applyFont="1" applyFill="1" applyBorder="1">
      <alignment vertical="center"/>
    </xf>
    <xf numFmtId="38" fontId="10" fillId="0" borderId="47" xfId="2" applyFont="1" applyFill="1" applyBorder="1" applyProtection="1">
      <alignment vertical="center"/>
    </xf>
    <xf numFmtId="38" fontId="10" fillId="2" borderId="178" xfId="2" applyFont="1" applyFill="1" applyBorder="1" applyAlignment="1">
      <alignment horizontal="center" vertical="center"/>
    </xf>
    <xf numFmtId="0" fontId="10" fillId="2" borderId="178" xfId="2" applyNumberFormat="1" applyFont="1" applyFill="1" applyBorder="1">
      <alignment vertical="center"/>
    </xf>
    <xf numFmtId="38" fontId="10" fillId="2" borderId="339" xfId="2" applyFont="1" applyFill="1" applyBorder="1">
      <alignment vertical="center"/>
    </xf>
    <xf numFmtId="38" fontId="10" fillId="0" borderId="339" xfId="2" applyFont="1" applyFill="1" applyBorder="1">
      <alignment vertical="center"/>
    </xf>
    <xf numFmtId="0" fontId="10" fillId="0" borderId="339" xfId="2" applyNumberFormat="1" applyFont="1" applyFill="1" applyBorder="1">
      <alignment vertical="center"/>
    </xf>
    <xf numFmtId="38" fontId="10" fillId="12" borderId="178" xfId="2" applyFont="1" applyFill="1" applyBorder="1" applyProtection="1">
      <alignment vertical="center"/>
    </xf>
    <xf numFmtId="181" fontId="10" fillId="12" borderId="178" xfId="2" applyNumberFormat="1" applyFont="1" applyFill="1" applyBorder="1" applyAlignment="1" applyProtection="1">
      <alignment horizontal="right" vertical="center"/>
    </xf>
    <xf numFmtId="38" fontId="10" fillId="0" borderId="184" xfId="2" applyFont="1" applyFill="1" applyBorder="1" applyAlignment="1">
      <alignment horizontal="right" vertical="center"/>
    </xf>
    <xf numFmtId="38" fontId="10" fillId="0" borderId="358" xfId="2" applyFont="1" applyFill="1" applyBorder="1" applyAlignment="1">
      <alignment horizontal="center" vertical="center"/>
    </xf>
    <xf numFmtId="38" fontId="10" fillId="0" borderId="339" xfId="2" applyFont="1" applyFill="1" applyBorder="1" applyAlignment="1">
      <alignment horizontal="center" vertical="center"/>
    </xf>
    <xf numFmtId="38" fontId="10" fillId="2" borderId="1" xfId="2" applyFont="1" applyFill="1" applyBorder="1">
      <alignment vertical="center"/>
    </xf>
    <xf numFmtId="38" fontId="10" fillId="11" borderId="335" xfId="2" applyFont="1" applyFill="1" applyBorder="1" applyAlignment="1" applyProtection="1">
      <alignment vertical="center" wrapText="1"/>
    </xf>
    <xf numFmtId="38" fontId="10" fillId="11" borderId="324" xfId="2" applyFont="1" applyFill="1" applyBorder="1" applyAlignment="1" applyProtection="1">
      <alignment vertical="center" wrapText="1"/>
    </xf>
    <xf numFmtId="38" fontId="10" fillId="2" borderId="55" xfId="2" applyFont="1" applyFill="1" applyBorder="1">
      <alignment vertical="center"/>
    </xf>
    <xf numFmtId="38" fontId="10" fillId="2" borderId="326" xfId="2" applyFont="1" applyFill="1" applyBorder="1">
      <alignment vertical="center"/>
    </xf>
    <xf numFmtId="38" fontId="10" fillId="0" borderId="189" xfId="2" applyFont="1" applyFill="1" applyBorder="1">
      <alignment vertical="center"/>
    </xf>
    <xf numFmtId="181" fontId="10" fillId="12" borderId="336" xfId="2" applyNumberFormat="1" applyFont="1" applyFill="1" applyBorder="1" applyAlignment="1" applyProtection="1">
      <alignment horizontal="right" vertical="center"/>
    </xf>
    <xf numFmtId="181" fontId="10" fillId="12" borderId="323" xfId="2" applyNumberFormat="1" applyFont="1" applyFill="1" applyBorder="1" applyAlignment="1">
      <alignment horizontal="right" vertical="center"/>
    </xf>
    <xf numFmtId="38" fontId="10" fillId="12" borderId="323" xfId="2" applyFont="1" applyFill="1" applyBorder="1">
      <alignment vertical="center"/>
    </xf>
    <xf numFmtId="176" fontId="10" fillId="12" borderId="323" xfId="2" applyNumberFormat="1" applyFont="1" applyFill="1" applyBorder="1">
      <alignment vertical="center"/>
    </xf>
    <xf numFmtId="38" fontId="10" fillId="2" borderId="55" xfId="2" applyFont="1" applyFill="1" applyBorder="1" applyAlignment="1" applyProtection="1">
      <alignment vertical="center" wrapText="1"/>
    </xf>
    <xf numFmtId="38" fontId="10" fillId="0" borderId="55" xfId="2" applyFont="1" applyFill="1" applyBorder="1" applyAlignment="1" applyProtection="1">
      <alignment vertical="center" wrapText="1"/>
    </xf>
    <xf numFmtId="38" fontId="10" fillId="0" borderId="55" xfId="2" applyFont="1" applyFill="1" applyBorder="1" applyProtection="1">
      <alignment vertical="center"/>
    </xf>
    <xf numFmtId="38" fontId="10" fillId="0" borderId="55" xfId="2" applyFont="1" applyFill="1" applyBorder="1" applyAlignment="1" applyProtection="1">
      <alignment horizontal="center" vertical="center"/>
    </xf>
    <xf numFmtId="0" fontId="10" fillId="0" borderId="55" xfId="2" applyNumberFormat="1" applyFont="1" applyFill="1" applyBorder="1" applyProtection="1">
      <alignment vertical="center"/>
    </xf>
    <xf numFmtId="38" fontId="10" fillId="0" borderId="55" xfId="2" applyFont="1" applyFill="1" applyBorder="1" applyAlignment="1" applyProtection="1">
      <alignment horizontal="center" vertical="center" wrapText="1"/>
    </xf>
    <xf numFmtId="38" fontId="10" fillId="0" borderId="359" xfId="2" applyFont="1" applyFill="1" applyBorder="1">
      <alignment vertical="center"/>
    </xf>
    <xf numFmtId="200" fontId="10" fillId="12" borderId="334" xfId="2" applyNumberFormat="1" applyFont="1" applyFill="1" applyBorder="1" applyAlignment="1" applyProtection="1">
      <alignment vertical="center" wrapText="1"/>
    </xf>
    <xf numFmtId="38" fontId="10" fillId="2" borderId="53" xfId="2" applyFont="1" applyFill="1" applyBorder="1">
      <alignment vertical="center"/>
    </xf>
    <xf numFmtId="38" fontId="10" fillId="2" borderId="28" xfId="2" applyFont="1" applyFill="1" applyBorder="1">
      <alignment vertical="center"/>
    </xf>
    <xf numFmtId="0" fontId="10" fillId="0" borderId="28" xfId="2" applyNumberFormat="1" applyFont="1" applyFill="1" applyBorder="1">
      <alignment vertical="center"/>
    </xf>
    <xf numFmtId="38" fontId="10" fillId="0" borderId="28" xfId="2" applyFont="1" applyFill="1" applyBorder="1" applyAlignment="1">
      <alignment horizontal="right" vertical="center"/>
    </xf>
    <xf numFmtId="38" fontId="10" fillId="2" borderId="359" xfId="2" applyFont="1" applyFill="1" applyBorder="1">
      <alignment vertical="center"/>
    </xf>
    <xf numFmtId="38" fontId="10" fillId="0" borderId="72" xfId="2" applyFont="1" applyFill="1" applyBorder="1" applyProtection="1">
      <alignment vertical="center"/>
    </xf>
    <xf numFmtId="38" fontId="10" fillId="11" borderId="222" xfId="2" applyFont="1" applyFill="1" applyBorder="1" applyProtection="1">
      <alignment vertical="center"/>
    </xf>
    <xf numFmtId="38" fontId="10" fillId="11" borderId="343" xfId="2" applyFont="1" applyFill="1" applyBorder="1" applyAlignment="1" applyProtection="1">
      <alignment vertical="center" wrapText="1"/>
    </xf>
    <xf numFmtId="38" fontId="10" fillId="12" borderId="343" xfId="2" applyFont="1" applyFill="1" applyBorder="1" applyAlignment="1" applyProtection="1">
      <alignment vertical="center" wrapText="1"/>
    </xf>
    <xf numFmtId="38" fontId="10" fillId="12" borderId="178" xfId="2" applyFont="1" applyFill="1" applyBorder="1" applyAlignment="1" applyProtection="1">
      <alignment horizontal="center" vertical="center"/>
    </xf>
    <xf numFmtId="10" fontId="10" fillId="12" borderId="178" xfId="2" applyNumberFormat="1" applyFont="1" applyFill="1" applyBorder="1" applyAlignment="1" applyProtection="1">
      <alignment horizontal="right" vertical="center"/>
    </xf>
    <xf numFmtId="38" fontId="10" fillId="12" borderId="222" xfId="2" applyFont="1" applyFill="1" applyBorder="1" applyProtection="1">
      <alignment vertical="center"/>
    </xf>
    <xf numFmtId="38" fontId="10" fillId="12" borderId="178" xfId="2" applyFont="1" applyFill="1" applyBorder="1" applyAlignment="1" applyProtection="1">
      <alignment horizontal="center" vertical="center" wrapText="1"/>
    </xf>
    <xf numFmtId="200" fontId="10" fillId="12" borderId="164" xfId="2" applyNumberFormat="1" applyFont="1" applyFill="1" applyBorder="1" applyAlignment="1" applyProtection="1">
      <alignment vertical="center" wrapText="1"/>
    </xf>
    <xf numFmtId="38" fontId="10" fillId="2" borderId="184" xfId="2" applyFont="1" applyFill="1" applyBorder="1" applyProtection="1">
      <alignment vertical="center"/>
    </xf>
    <xf numFmtId="38" fontId="10" fillId="2" borderId="184" xfId="2" applyFont="1" applyFill="1" applyBorder="1" applyAlignment="1" applyProtection="1">
      <alignment vertical="center" wrapText="1"/>
    </xf>
    <xf numFmtId="38" fontId="10" fillId="0" borderId="184" xfId="2" applyFont="1" applyFill="1" applyBorder="1" applyProtection="1">
      <alignment vertical="center"/>
    </xf>
    <xf numFmtId="38" fontId="10" fillId="0" borderId="184" xfId="2" applyFont="1" applyFill="1" applyBorder="1" applyAlignment="1" applyProtection="1">
      <alignment horizontal="center" vertical="center"/>
    </xf>
    <xf numFmtId="0" fontId="10" fillId="0" borderId="184" xfId="2" applyNumberFormat="1" applyFont="1" applyFill="1" applyBorder="1" applyProtection="1">
      <alignment vertical="center"/>
    </xf>
    <xf numFmtId="38" fontId="10" fillId="0" borderId="184" xfId="2" applyFont="1" applyFill="1" applyBorder="1" applyAlignment="1" applyProtection="1">
      <alignment horizontal="center" vertical="center" wrapText="1"/>
    </xf>
    <xf numFmtId="38" fontId="10" fillId="2" borderId="1" xfId="2" applyFont="1" applyFill="1" applyBorder="1" applyProtection="1">
      <alignment vertical="center"/>
    </xf>
    <xf numFmtId="38" fontId="10" fillId="0" borderId="1" xfId="2" applyFont="1" applyFill="1" applyBorder="1" applyProtection="1">
      <alignment vertical="center"/>
    </xf>
    <xf numFmtId="38" fontId="10" fillId="2" borderId="189" xfId="2" applyFont="1" applyFill="1" applyBorder="1">
      <alignment vertical="center"/>
    </xf>
    <xf numFmtId="38" fontId="10" fillId="0" borderId="189" xfId="2" applyFont="1" applyFill="1" applyBorder="1" applyAlignment="1">
      <alignment horizontal="center" vertical="center"/>
    </xf>
    <xf numFmtId="0" fontId="10" fillId="0" borderId="189" xfId="2" applyNumberFormat="1" applyFont="1" applyFill="1" applyBorder="1">
      <alignment vertical="center"/>
    </xf>
    <xf numFmtId="38" fontId="10" fillId="0" borderId="189" xfId="2" applyFont="1" applyFill="1" applyBorder="1" applyAlignment="1">
      <alignment horizontal="right" vertical="center"/>
    </xf>
    <xf numFmtId="38" fontId="10" fillId="2" borderId="178" xfId="2" applyFont="1" applyFill="1" applyBorder="1" applyAlignment="1">
      <alignment horizontal="right" vertical="center"/>
    </xf>
    <xf numFmtId="38" fontId="10" fillId="2" borderId="328" xfId="2" applyFont="1" applyFill="1" applyBorder="1">
      <alignment vertical="center"/>
    </xf>
    <xf numFmtId="38" fontId="10" fillId="0" borderId="328" xfId="2" applyFont="1" applyFill="1" applyBorder="1" applyAlignment="1">
      <alignment horizontal="right" vertical="center"/>
    </xf>
    <xf numFmtId="38" fontId="10" fillId="2" borderId="328" xfId="2" applyFont="1" applyFill="1" applyBorder="1" applyAlignment="1">
      <alignment horizontal="center" vertical="center"/>
    </xf>
    <xf numFmtId="38" fontId="10" fillId="2" borderId="328" xfId="2" applyFont="1" applyFill="1" applyBorder="1" applyAlignment="1">
      <alignment horizontal="right" vertical="center"/>
    </xf>
    <xf numFmtId="38" fontId="10" fillId="2" borderId="1" xfId="2" applyFont="1" applyFill="1" applyBorder="1" applyAlignment="1">
      <alignment horizontal="center" vertical="center"/>
    </xf>
    <xf numFmtId="38" fontId="10" fillId="2" borderId="1" xfId="2" applyFont="1" applyFill="1" applyBorder="1" applyAlignment="1">
      <alignment horizontal="right" vertical="center"/>
    </xf>
    <xf numFmtId="38" fontId="10" fillId="2" borderId="323" xfId="2" applyFont="1" applyFill="1" applyBorder="1" applyProtection="1">
      <alignment vertical="center"/>
    </xf>
    <xf numFmtId="38" fontId="10" fillId="0" borderId="323" xfId="2" applyFont="1" applyFill="1" applyBorder="1" applyProtection="1">
      <alignment vertical="center"/>
    </xf>
    <xf numFmtId="38" fontId="10" fillId="2" borderId="323" xfId="2" applyFont="1" applyFill="1" applyBorder="1" applyAlignment="1">
      <alignment horizontal="right" vertical="center"/>
    </xf>
    <xf numFmtId="38" fontId="10" fillId="0" borderId="55" xfId="2" applyFont="1" applyFill="1" applyBorder="1" applyAlignment="1">
      <alignment horizontal="right" vertical="center"/>
    </xf>
    <xf numFmtId="38" fontId="10" fillId="2" borderId="184" xfId="2" applyFont="1" applyFill="1" applyBorder="1" applyAlignment="1">
      <alignment horizontal="right" vertical="center"/>
    </xf>
    <xf numFmtId="38" fontId="10" fillId="2" borderId="178" xfId="2" applyFont="1" applyFill="1" applyBorder="1" applyProtection="1">
      <alignment vertical="center"/>
    </xf>
    <xf numFmtId="38" fontId="10" fillId="0" borderId="178" xfId="2" applyFont="1" applyFill="1" applyBorder="1" applyProtection="1">
      <alignment vertical="center"/>
    </xf>
    <xf numFmtId="176" fontId="10" fillId="12" borderId="323" xfId="2" applyNumberFormat="1" applyFont="1" applyFill="1" applyBorder="1" applyAlignment="1">
      <alignment horizontal="right" vertical="center"/>
    </xf>
    <xf numFmtId="38" fontId="10" fillId="2" borderId="1" xfId="2" applyFont="1" applyFill="1" applyBorder="1" applyAlignment="1" applyProtection="1">
      <alignment vertical="center" wrapText="1"/>
    </xf>
    <xf numFmtId="38" fontId="10" fillId="0" borderId="1" xfId="2" applyFont="1" applyFill="1" applyBorder="1" applyAlignment="1" applyProtection="1">
      <alignment vertical="center" wrapText="1"/>
    </xf>
    <xf numFmtId="38" fontId="10" fillId="0" borderId="1" xfId="2" applyFont="1" applyFill="1" applyBorder="1" applyAlignment="1" applyProtection="1">
      <alignment horizontal="center" vertical="center"/>
    </xf>
    <xf numFmtId="0" fontId="10" fillId="0" borderId="1" xfId="2" applyNumberFormat="1" applyFont="1" applyFill="1" applyBorder="1" applyProtection="1">
      <alignment vertical="center"/>
    </xf>
    <xf numFmtId="38" fontId="10" fillId="2" borderId="1" xfId="2" applyFont="1" applyFill="1" applyBorder="1" applyAlignment="1" applyProtection="1">
      <alignment horizontal="center" vertical="center" wrapText="1"/>
    </xf>
    <xf numFmtId="38" fontId="10" fillId="2" borderId="326" xfId="2" applyFont="1" applyFill="1" applyBorder="1" applyAlignment="1">
      <alignment horizontal="center" vertical="center"/>
    </xf>
    <xf numFmtId="38" fontId="10" fillId="2" borderId="359" xfId="2" applyFont="1" applyFill="1" applyBorder="1" applyAlignment="1">
      <alignment horizontal="center" vertical="center"/>
    </xf>
    <xf numFmtId="38" fontId="10" fillId="11" borderId="324" xfId="2" applyFont="1" applyFill="1" applyBorder="1" applyProtection="1">
      <alignment vertical="center"/>
    </xf>
    <xf numFmtId="38" fontId="10" fillId="12" borderId="324" xfId="2" applyFont="1" applyFill="1" applyBorder="1" applyProtection="1">
      <alignment vertical="center"/>
    </xf>
    <xf numFmtId="38" fontId="10" fillId="4" borderId="55" xfId="2" applyFont="1" applyFill="1" applyBorder="1" applyAlignment="1" applyProtection="1">
      <alignment horizontal="center" vertical="center"/>
    </xf>
    <xf numFmtId="38" fontId="10" fillId="4" borderId="51" xfId="2" applyFont="1" applyFill="1" applyBorder="1" applyProtection="1">
      <alignment vertical="center"/>
    </xf>
    <xf numFmtId="38" fontId="10" fillId="8" borderId="47" xfId="2" applyFont="1" applyFill="1" applyBorder="1" applyProtection="1">
      <alignment vertical="center"/>
    </xf>
    <xf numFmtId="38" fontId="10" fillId="8" borderId="47" xfId="2" applyFont="1" applyFill="1" applyBorder="1" applyAlignment="1" applyProtection="1">
      <alignment horizontal="center" vertical="center"/>
    </xf>
    <xf numFmtId="38" fontId="10" fillId="8" borderId="154" xfId="2" applyFont="1" applyFill="1" applyBorder="1" applyProtection="1">
      <alignment vertical="center"/>
    </xf>
    <xf numFmtId="38" fontId="10" fillId="8" borderId="55" xfId="2" applyFont="1" applyFill="1" applyBorder="1" applyProtection="1">
      <alignment vertical="center"/>
    </xf>
    <xf numFmtId="38" fontId="10" fillId="8" borderId="51" xfId="2" applyFont="1" applyFill="1" applyBorder="1" applyProtection="1">
      <alignment vertical="center"/>
    </xf>
    <xf numFmtId="38" fontId="10" fillId="8" borderId="55" xfId="2" applyFont="1" applyFill="1" applyBorder="1" applyAlignment="1" applyProtection="1">
      <alignment horizontal="center" vertical="center"/>
    </xf>
    <xf numFmtId="200" fontId="10" fillId="8" borderId="55" xfId="2" applyNumberFormat="1" applyFont="1" applyFill="1" applyBorder="1" applyProtection="1">
      <alignment vertical="center"/>
    </xf>
    <xf numFmtId="38" fontId="53" fillId="0" borderId="0" xfId="2" applyFont="1" applyProtection="1">
      <alignment vertical="center"/>
    </xf>
    <xf numFmtId="38" fontId="53" fillId="0" borderId="0" xfId="2" applyFont="1" applyFill="1" applyProtection="1">
      <alignment vertical="center"/>
    </xf>
    <xf numFmtId="176" fontId="10" fillId="0" borderId="0" xfId="2" applyNumberFormat="1" applyFont="1" applyProtection="1">
      <alignment vertical="center"/>
    </xf>
    <xf numFmtId="38" fontId="54" fillId="0" borderId="0" xfId="2" applyFont="1" applyProtection="1">
      <alignment vertical="center"/>
    </xf>
    <xf numFmtId="38" fontId="53" fillId="0" borderId="0" xfId="2" applyFont="1" applyAlignment="1" applyProtection="1">
      <alignment horizontal="center" vertical="center"/>
    </xf>
    <xf numFmtId="176" fontId="53" fillId="0" borderId="0" xfId="2" applyNumberFormat="1" applyFont="1" applyProtection="1">
      <alignment vertical="center"/>
    </xf>
    <xf numFmtId="38" fontId="10" fillId="4" borderId="1" xfId="2" applyFont="1" applyFill="1" applyBorder="1" applyAlignment="1" applyProtection="1">
      <alignment horizontal="center" vertical="center" wrapText="1"/>
    </xf>
    <xf numFmtId="38" fontId="10" fillId="0" borderId="1" xfId="2" applyFont="1" applyFill="1" applyBorder="1" applyAlignment="1">
      <alignment vertical="center"/>
    </xf>
    <xf numFmtId="38" fontId="10" fillId="0" borderId="55" xfId="2" applyFont="1" applyFill="1" applyBorder="1" applyAlignment="1">
      <alignment vertical="center"/>
    </xf>
    <xf numFmtId="38" fontId="10" fillId="0" borderId="178" xfId="2" applyFont="1" applyFill="1" applyBorder="1" applyAlignment="1">
      <alignment vertical="center"/>
    </xf>
    <xf numFmtId="38" fontId="10" fillId="0" borderId="323" xfId="2" applyFont="1" applyFill="1" applyBorder="1" applyAlignment="1">
      <alignment vertical="center"/>
    </xf>
    <xf numFmtId="38" fontId="10" fillId="0" borderId="184" xfId="2" applyFont="1" applyFill="1" applyBorder="1" applyAlignment="1">
      <alignment vertical="center"/>
    </xf>
    <xf numFmtId="38" fontId="10" fillId="12" borderId="336" xfId="2" applyFont="1" applyFill="1" applyBorder="1" applyAlignment="1" applyProtection="1">
      <alignment vertical="center" wrapText="1"/>
    </xf>
    <xf numFmtId="38" fontId="10" fillId="12" borderId="323" xfId="2" applyFont="1" applyFill="1" applyBorder="1" applyAlignment="1" applyProtection="1">
      <alignment vertical="center"/>
    </xf>
    <xf numFmtId="38" fontId="10" fillId="0" borderId="53" xfId="2" applyFont="1" applyFill="1" applyBorder="1" applyAlignment="1">
      <alignment vertical="center"/>
    </xf>
    <xf numFmtId="38" fontId="10" fillId="0" borderId="326" xfId="2" applyFont="1" applyFill="1" applyBorder="1" applyAlignment="1">
      <alignment vertical="center"/>
    </xf>
    <xf numFmtId="38" fontId="10" fillId="0" borderId="339" xfId="2" applyFont="1" applyFill="1" applyBorder="1" applyAlignment="1">
      <alignment vertical="center"/>
    </xf>
    <xf numFmtId="38" fontId="10" fillId="0" borderId="178" xfId="2" applyFont="1" applyFill="1" applyBorder="1" applyAlignment="1" applyProtection="1">
      <alignment vertical="center"/>
    </xf>
    <xf numFmtId="38" fontId="10" fillId="0" borderId="184" xfId="2" applyFont="1" applyFill="1" applyBorder="1" applyAlignment="1" applyProtection="1">
      <alignment vertical="center"/>
    </xf>
    <xf numFmtId="38" fontId="10" fillId="11" borderId="334" xfId="2" applyFont="1" applyFill="1" applyBorder="1" applyAlignment="1" applyProtection="1">
      <alignment vertical="center" wrapText="1"/>
    </xf>
    <xf numFmtId="38" fontId="10" fillId="12" borderId="334" xfId="2" applyFont="1" applyFill="1" applyBorder="1" applyAlignment="1" applyProtection="1">
      <alignment vertical="center" wrapText="1"/>
    </xf>
    <xf numFmtId="38" fontId="10" fillId="11" borderId="224" xfId="2" applyFont="1" applyFill="1" applyBorder="1" applyAlignment="1" applyProtection="1">
      <alignment vertical="center" wrapText="1"/>
    </xf>
    <xf numFmtId="38" fontId="10" fillId="12" borderId="224" xfId="2" applyFont="1" applyFill="1" applyBorder="1">
      <alignment vertical="center"/>
    </xf>
    <xf numFmtId="38" fontId="10" fillId="2" borderId="323" xfId="2" applyFont="1" applyFill="1" applyBorder="1" applyAlignment="1" applyProtection="1">
      <alignment vertical="center" wrapText="1"/>
    </xf>
    <xf numFmtId="38" fontId="10" fillId="0" borderId="323" xfId="2" applyFont="1" applyFill="1" applyBorder="1" applyAlignment="1" applyProtection="1">
      <alignment vertical="center"/>
    </xf>
    <xf numFmtId="38" fontId="10" fillId="0" borderId="1" xfId="2" applyFont="1" applyFill="1" applyBorder="1" applyAlignment="1">
      <alignment horizontal="right" vertical="center"/>
    </xf>
    <xf numFmtId="38" fontId="10" fillId="2" borderId="178" xfId="2" applyFont="1" applyFill="1" applyBorder="1" applyAlignment="1" applyProtection="1">
      <alignment vertical="center" wrapText="1"/>
    </xf>
    <xf numFmtId="38" fontId="10" fillId="0" borderId="0" xfId="2" applyFont="1" applyFill="1" applyBorder="1">
      <alignment vertical="center"/>
    </xf>
    <xf numFmtId="176" fontId="10" fillId="4" borderId="1" xfId="2" applyNumberFormat="1" applyFont="1" applyFill="1" applyBorder="1" applyAlignment="1" applyProtection="1">
      <alignment horizontal="center" vertical="center" wrapText="1"/>
    </xf>
    <xf numFmtId="181" fontId="10" fillId="0" borderId="326" xfId="3" applyNumberFormat="1" applyFont="1" applyFill="1" applyBorder="1" applyProtection="1">
      <alignment vertical="center"/>
    </xf>
    <xf numFmtId="181" fontId="10" fillId="0" borderId="1" xfId="3" applyNumberFormat="1" applyFont="1" applyFill="1" applyBorder="1">
      <alignment vertical="center"/>
    </xf>
    <xf numFmtId="181" fontId="10" fillId="0" borderId="178" xfId="3" applyNumberFormat="1" applyFont="1" applyFill="1" applyBorder="1">
      <alignment vertical="center"/>
    </xf>
    <xf numFmtId="181" fontId="10" fillId="0" borderId="323" xfId="3" applyNumberFormat="1" applyFont="1" applyFill="1" applyBorder="1">
      <alignment vertical="center"/>
    </xf>
    <xf numFmtId="38" fontId="10" fillId="0" borderId="328" xfId="2" applyFont="1" applyFill="1" applyBorder="1" applyAlignment="1">
      <alignment vertical="center"/>
    </xf>
    <xf numFmtId="181" fontId="10" fillId="0" borderId="328" xfId="3" applyNumberFormat="1" applyFont="1" applyFill="1" applyBorder="1">
      <alignment vertical="center"/>
    </xf>
    <xf numFmtId="181" fontId="10" fillId="0" borderId="326" xfId="3" applyNumberFormat="1" applyFont="1" applyFill="1" applyBorder="1">
      <alignment vertical="center"/>
    </xf>
    <xf numFmtId="181" fontId="10" fillId="0" borderId="55" xfId="3" applyNumberFormat="1" applyFont="1" applyFill="1" applyBorder="1">
      <alignment vertical="center"/>
    </xf>
    <xf numFmtId="181" fontId="10" fillId="0" borderId="184" xfId="3" applyNumberFormat="1" applyFont="1" applyFill="1" applyBorder="1">
      <alignment vertical="center"/>
    </xf>
    <xf numFmtId="38" fontId="32" fillId="12" borderId="336" xfId="2" applyFont="1" applyFill="1" applyBorder="1" applyAlignment="1" applyProtection="1">
      <alignment vertical="center" wrapText="1"/>
    </xf>
    <xf numFmtId="181" fontId="32" fillId="12" borderId="336" xfId="3" applyNumberFormat="1" applyFont="1" applyFill="1" applyBorder="1" applyAlignment="1" applyProtection="1">
      <alignment vertical="center" wrapText="1"/>
    </xf>
    <xf numFmtId="38" fontId="32" fillId="12" borderId="323" xfId="2" applyFont="1" applyFill="1" applyBorder="1" applyAlignment="1" applyProtection="1">
      <alignment vertical="center" wrapText="1"/>
    </xf>
    <xf numFmtId="38" fontId="32" fillId="12" borderId="323" xfId="2" applyFont="1" applyFill="1" applyBorder="1" applyProtection="1">
      <alignment vertical="center"/>
    </xf>
    <xf numFmtId="176" fontId="32" fillId="12" borderId="323" xfId="2" applyNumberFormat="1" applyFont="1" applyFill="1" applyBorder="1" applyProtection="1">
      <alignment vertical="center"/>
    </xf>
    <xf numFmtId="176" fontId="32" fillId="12" borderId="323" xfId="2" applyNumberFormat="1" applyFont="1" applyFill="1" applyBorder="1" applyAlignment="1" applyProtection="1">
      <alignment horizontal="right" vertical="center"/>
    </xf>
    <xf numFmtId="181" fontId="10" fillId="0" borderId="339" xfId="3" applyNumberFormat="1" applyFont="1" applyFill="1" applyBorder="1">
      <alignment vertical="center"/>
    </xf>
    <xf numFmtId="181" fontId="10" fillId="0" borderId="53" xfId="3" applyNumberFormat="1" applyFont="1" applyFill="1" applyBorder="1">
      <alignment vertical="center"/>
    </xf>
    <xf numFmtId="38" fontId="32" fillId="12" borderId="323" xfId="2" applyFont="1" applyFill="1" applyBorder="1">
      <alignment vertical="center"/>
    </xf>
    <xf numFmtId="176" fontId="32" fillId="12" borderId="323" xfId="2" applyNumberFormat="1" applyFont="1" applyFill="1" applyBorder="1">
      <alignment vertical="center"/>
    </xf>
    <xf numFmtId="176" fontId="32" fillId="12" borderId="323" xfId="2" applyNumberFormat="1" applyFont="1" applyFill="1" applyBorder="1" applyAlignment="1">
      <alignment horizontal="right" vertical="center"/>
    </xf>
    <xf numFmtId="181" fontId="10" fillId="0" borderId="178" xfId="3" applyNumberFormat="1" applyFont="1" applyFill="1" applyBorder="1" applyProtection="1">
      <alignment vertical="center"/>
    </xf>
    <xf numFmtId="181" fontId="10" fillId="0" borderId="184" xfId="3" applyNumberFormat="1" applyFont="1" applyFill="1" applyBorder="1" applyProtection="1">
      <alignment vertical="center"/>
    </xf>
    <xf numFmtId="181" fontId="32" fillId="12" borderId="334" xfId="3" applyNumberFormat="1" applyFont="1" applyFill="1" applyBorder="1" applyAlignment="1" applyProtection="1">
      <alignment vertical="center" wrapText="1"/>
    </xf>
    <xf numFmtId="38" fontId="32" fillId="12" borderId="334" xfId="2" applyFont="1" applyFill="1" applyBorder="1" applyAlignment="1" applyProtection="1">
      <alignment vertical="center" wrapText="1"/>
    </xf>
    <xf numFmtId="181" fontId="10" fillId="0" borderId="323" xfId="3" applyNumberFormat="1" applyFont="1" applyFill="1" applyBorder="1" applyProtection="1">
      <alignment vertical="center"/>
    </xf>
    <xf numFmtId="181" fontId="10" fillId="0" borderId="1" xfId="3" applyNumberFormat="1" applyFont="1" applyFill="1" applyBorder="1" applyProtection="1">
      <alignment vertical="center"/>
    </xf>
    <xf numFmtId="38" fontId="32" fillId="12" borderId="323" xfId="2" applyFont="1" applyFill="1" applyBorder="1" applyAlignment="1" applyProtection="1">
      <alignment horizontal="center" vertical="center"/>
    </xf>
    <xf numFmtId="181" fontId="32" fillId="8" borderId="55" xfId="3" applyNumberFormat="1" applyFont="1" applyFill="1" applyBorder="1" applyProtection="1">
      <alignment vertical="center"/>
    </xf>
    <xf numFmtId="38" fontId="32" fillId="8" borderId="55" xfId="2" applyFont="1" applyFill="1" applyBorder="1" applyProtection="1">
      <alignment vertical="center"/>
    </xf>
    <xf numFmtId="176" fontId="26" fillId="0" borderId="0" xfId="2" applyNumberFormat="1" applyFont="1" applyProtection="1">
      <alignment vertical="center"/>
    </xf>
    <xf numFmtId="38" fontId="10" fillId="0" borderId="1" xfId="21" applyFont="1" applyBorder="1" applyAlignment="1" applyProtection="1">
      <alignment vertical="center"/>
      <protection locked="0"/>
    </xf>
    <xf numFmtId="38" fontId="55" fillId="0" borderId="1" xfId="21" applyFont="1" applyFill="1" applyBorder="1" applyAlignment="1" applyProtection="1">
      <alignment vertical="center" wrapText="1"/>
      <protection locked="0"/>
    </xf>
    <xf numFmtId="38" fontId="10" fillId="0" borderId="1" xfId="22" applyFont="1" applyFill="1" applyBorder="1" applyAlignment="1" applyProtection="1">
      <alignment horizontal="right" vertical="center" wrapText="1"/>
      <protection locked="0"/>
    </xf>
    <xf numFmtId="38" fontId="10" fillId="0" borderId="1" xfId="22" applyFont="1" applyFill="1" applyBorder="1" applyAlignment="1" applyProtection="1">
      <alignment horizontal="left" vertical="center" wrapText="1"/>
      <protection locked="0"/>
    </xf>
    <xf numFmtId="38" fontId="5" fillId="0" borderId="1" xfId="21" applyFont="1" applyFill="1" applyBorder="1" applyAlignment="1">
      <alignment horizontal="right" vertical="center" shrinkToFit="1"/>
    </xf>
    <xf numFmtId="0" fontId="58" fillId="13" borderId="1" xfId="24" applyFont="1" applyFill="1" applyBorder="1" applyAlignment="1">
      <alignment horizontal="distributed" vertical="center" wrapText="1" justifyLastLine="1"/>
    </xf>
    <xf numFmtId="0" fontId="35" fillId="0" borderId="0" xfId="5" applyFont="1" applyAlignment="1" applyProtection="1">
      <alignment vertical="center"/>
    </xf>
    <xf numFmtId="0" fontId="35" fillId="0" borderId="0" xfId="5" applyFont="1" applyFill="1" applyAlignment="1" applyProtection="1">
      <alignment vertical="center"/>
    </xf>
    <xf numFmtId="0" fontId="35" fillId="0" borderId="0" xfId="5" applyFont="1" applyAlignment="1" applyProtection="1">
      <alignment horizontal="center" vertical="center"/>
    </xf>
    <xf numFmtId="0" fontId="35" fillId="0" borderId="0" xfId="5" applyFont="1" applyBorder="1" applyAlignment="1" applyProtection="1">
      <alignment vertical="center"/>
    </xf>
    <xf numFmtId="38" fontId="35" fillId="0" borderId="361" xfId="6" applyFont="1" applyFill="1" applyBorder="1" applyAlignment="1" applyProtection="1">
      <alignment vertical="center"/>
    </xf>
    <xf numFmtId="38" fontId="35" fillId="0" borderId="25" xfId="6" applyFont="1" applyFill="1" applyBorder="1" applyAlignment="1" applyProtection="1">
      <alignment vertical="center"/>
    </xf>
    <xf numFmtId="38" fontId="35" fillId="0" borderId="24" xfId="6" applyFont="1" applyFill="1" applyBorder="1" applyAlignment="1" applyProtection="1">
      <alignment vertical="center"/>
    </xf>
    <xf numFmtId="0" fontId="57" fillId="0" borderId="23" xfId="5" applyFont="1" applyBorder="1" applyAlignment="1" applyProtection="1">
      <alignment horizontal="center" vertical="center"/>
    </xf>
    <xf numFmtId="38" fontId="35" fillId="0" borderId="362" xfId="6" applyFont="1" applyFill="1" applyBorder="1" applyAlignment="1" applyProtection="1">
      <alignment vertical="center"/>
    </xf>
    <xf numFmtId="38" fontId="35" fillId="0" borderId="363" xfId="6" applyFont="1" applyFill="1" applyBorder="1" applyAlignment="1" applyProtection="1">
      <alignment vertical="center"/>
    </xf>
    <xf numFmtId="38" fontId="35" fillId="0" borderId="47" xfId="6" applyFont="1" applyFill="1" applyBorder="1" applyAlignment="1" applyProtection="1">
      <alignment vertical="center"/>
    </xf>
    <xf numFmtId="38" fontId="35" fillId="0" borderId="154" xfId="6" applyFont="1" applyFill="1" applyBorder="1" applyAlignment="1" applyProtection="1">
      <alignment vertical="center"/>
    </xf>
    <xf numFmtId="38" fontId="35" fillId="0" borderId="364" xfId="6" applyFont="1" applyFill="1" applyBorder="1" applyAlignment="1" applyProtection="1">
      <alignment vertical="center"/>
    </xf>
    <xf numFmtId="0" fontId="57" fillId="0" borderId="365" xfId="5" applyFont="1" applyBorder="1" applyAlignment="1" applyProtection="1">
      <alignment horizontal="center" vertical="center"/>
    </xf>
    <xf numFmtId="38" fontId="35" fillId="0" borderId="368" xfId="6" applyFont="1" applyFill="1" applyBorder="1" applyAlignment="1" applyProtection="1">
      <alignment vertical="center"/>
    </xf>
    <xf numFmtId="38" fontId="35" fillId="0" borderId="369" xfId="6" applyFont="1" applyFill="1" applyBorder="1" applyAlignment="1" applyProtection="1">
      <alignment vertical="center"/>
    </xf>
    <xf numFmtId="38" fontId="35" fillId="0" borderId="370" xfId="6" applyFont="1" applyFill="1" applyBorder="1" applyAlignment="1" applyProtection="1">
      <alignment vertical="center"/>
    </xf>
    <xf numFmtId="38" fontId="35" fillId="0" borderId="359" xfId="6" applyFont="1" applyFill="1" applyBorder="1" applyAlignment="1" applyProtection="1">
      <alignment vertical="center"/>
    </xf>
    <xf numFmtId="0" fontId="57" fillId="0" borderId="50" xfId="5" applyFont="1" applyBorder="1" applyAlignment="1" applyProtection="1">
      <alignment horizontal="center" vertical="center"/>
    </xf>
    <xf numFmtId="38" fontId="35" fillId="0" borderId="367" xfId="6" applyFont="1" applyFill="1" applyBorder="1" applyAlignment="1" applyProtection="1">
      <alignment vertical="center"/>
    </xf>
    <xf numFmtId="0" fontId="8" fillId="0" borderId="154" xfId="5" applyFont="1" applyBorder="1" applyAlignment="1" applyProtection="1">
      <alignment horizontal="center" vertical="center"/>
    </xf>
    <xf numFmtId="0" fontId="57" fillId="0" borderId="371" xfId="5" applyFont="1" applyBorder="1" applyAlignment="1" applyProtection="1">
      <alignment horizontal="center" vertical="center"/>
    </xf>
    <xf numFmtId="38" fontId="35" fillId="0" borderId="372" xfId="6" applyFont="1" applyFill="1" applyBorder="1" applyAlignment="1" applyProtection="1">
      <alignment vertical="center"/>
    </xf>
    <xf numFmtId="38" fontId="35" fillId="0" borderId="35" xfId="6" applyFont="1" applyFill="1" applyBorder="1" applyAlignment="1" applyProtection="1">
      <alignment vertical="center"/>
    </xf>
    <xf numFmtId="38" fontId="35" fillId="0" borderId="373" xfId="6" applyFont="1" applyFill="1" applyBorder="1" applyAlignment="1" applyProtection="1">
      <alignment vertical="center"/>
    </xf>
    <xf numFmtId="38" fontId="35" fillId="0" borderId="374" xfId="6" applyFont="1" applyFill="1" applyBorder="1" applyAlignment="1" applyProtection="1">
      <alignment vertical="center"/>
    </xf>
    <xf numFmtId="38" fontId="35" fillId="0" borderId="26" xfId="6" applyFont="1" applyFill="1" applyBorder="1" applyAlignment="1" applyProtection="1">
      <alignment vertical="center"/>
    </xf>
    <xf numFmtId="38" fontId="35" fillId="0" borderId="58" xfId="6" applyFont="1" applyFill="1" applyBorder="1" applyAlignment="1" applyProtection="1">
      <alignment vertical="center"/>
    </xf>
    <xf numFmtId="38" fontId="35" fillId="0" borderId="375" xfId="6" applyFont="1" applyFill="1" applyBorder="1" applyAlignment="1" applyProtection="1">
      <alignment vertical="center"/>
    </xf>
    <xf numFmtId="38" fontId="35" fillId="0" borderId="39" xfId="6" applyFont="1" applyFill="1" applyBorder="1" applyAlignment="1" applyProtection="1">
      <alignment vertical="center"/>
    </xf>
    <xf numFmtId="38" fontId="35" fillId="0" borderId="55" xfId="6" applyFont="1" applyFill="1" applyBorder="1" applyAlignment="1" applyProtection="1">
      <alignment vertical="center"/>
    </xf>
    <xf numFmtId="38" fontId="35" fillId="0" borderId="376" xfId="6" applyFont="1" applyFill="1" applyBorder="1" applyAlignment="1" applyProtection="1">
      <alignment vertical="center"/>
    </xf>
    <xf numFmtId="38" fontId="35" fillId="0" borderId="377" xfId="6" applyFont="1" applyFill="1" applyBorder="1" applyAlignment="1" applyProtection="1">
      <alignment vertical="center"/>
    </xf>
    <xf numFmtId="38" fontId="35" fillId="0" borderId="378" xfId="6" applyFont="1" applyFill="1" applyBorder="1" applyAlignment="1" applyProtection="1">
      <alignment vertical="center"/>
    </xf>
    <xf numFmtId="38" fontId="35" fillId="0" borderId="356" xfId="6" applyFont="1" applyFill="1" applyBorder="1" applyAlignment="1" applyProtection="1">
      <alignment vertical="center"/>
    </xf>
    <xf numFmtId="38" fontId="35" fillId="0" borderId="339" xfId="6" applyFont="1" applyFill="1" applyBorder="1" applyAlignment="1" applyProtection="1">
      <alignment vertical="center"/>
    </xf>
    <xf numFmtId="38" fontId="35" fillId="0" borderId="379" xfId="6" applyFont="1" applyFill="1" applyBorder="1" applyAlignment="1" applyProtection="1">
      <alignment vertical="center"/>
    </xf>
    <xf numFmtId="38" fontId="35" fillId="0" borderId="380" xfId="6" applyFont="1" applyFill="1" applyBorder="1" applyAlignment="1" applyProtection="1">
      <alignment vertical="center"/>
    </xf>
    <xf numFmtId="38" fontId="35" fillId="0" borderId="381" xfId="6" applyFont="1" applyFill="1" applyBorder="1" applyAlignment="1" applyProtection="1">
      <alignment vertical="center"/>
    </xf>
    <xf numFmtId="38" fontId="35" fillId="0" borderId="20" xfId="6" applyFont="1" applyFill="1" applyBorder="1" applyAlignment="1" applyProtection="1">
      <alignment vertical="center"/>
    </xf>
    <xf numFmtId="38" fontId="35" fillId="0" borderId="4" xfId="6" applyFont="1" applyFill="1" applyBorder="1" applyAlignment="1" applyProtection="1">
      <alignment vertical="center"/>
    </xf>
    <xf numFmtId="38" fontId="35" fillId="0" borderId="1" xfId="6" applyFont="1" applyFill="1" applyBorder="1" applyAlignment="1" applyProtection="1">
      <alignment vertical="center"/>
    </xf>
    <xf numFmtId="0" fontId="57" fillId="0" borderId="27" xfId="5" applyFont="1" applyBorder="1" applyAlignment="1" applyProtection="1">
      <alignment horizontal="center" vertical="center"/>
    </xf>
    <xf numFmtId="38" fontId="35" fillId="0" borderId="382" xfId="6" applyFont="1" applyFill="1" applyBorder="1" applyAlignment="1" applyProtection="1">
      <alignment vertical="center"/>
    </xf>
    <xf numFmtId="38" fontId="35" fillId="0" borderId="197" xfId="6" applyFont="1" applyFill="1" applyBorder="1" applyAlignment="1" applyProtection="1">
      <alignment vertical="center"/>
    </xf>
    <xf numFmtId="38" fontId="35" fillId="0" borderId="194" xfId="6" applyFont="1" applyFill="1" applyBorder="1" applyAlignment="1" applyProtection="1">
      <alignment vertical="center"/>
    </xf>
    <xf numFmtId="0" fontId="57" fillId="0" borderId="154" xfId="5" applyFont="1" applyBorder="1" applyAlignment="1" applyProtection="1">
      <alignment horizontal="center" vertical="center"/>
    </xf>
    <xf numFmtId="38" fontId="35" fillId="0" borderId="42" xfId="6" applyFont="1" applyFill="1" applyBorder="1" applyAlignment="1" applyProtection="1">
      <alignment vertical="center"/>
    </xf>
    <xf numFmtId="38" fontId="35" fillId="0" borderId="67" xfId="6" applyFont="1" applyFill="1" applyBorder="1" applyAlignment="1" applyProtection="1">
      <alignment vertical="center"/>
    </xf>
    <xf numFmtId="38" fontId="35" fillId="0" borderId="0" xfId="6" applyFont="1" applyFill="1" applyBorder="1" applyAlignment="1" applyProtection="1">
      <alignment vertical="center"/>
    </xf>
    <xf numFmtId="38" fontId="35" fillId="0" borderId="50" xfId="6" applyFont="1" applyFill="1" applyBorder="1" applyAlignment="1" applyProtection="1">
      <alignment vertical="center"/>
    </xf>
    <xf numFmtId="38" fontId="35" fillId="0" borderId="37" xfId="6" applyFont="1" applyFill="1" applyBorder="1" applyAlignment="1" applyProtection="1">
      <alignment vertical="center"/>
    </xf>
    <xf numFmtId="38" fontId="35" fillId="0" borderId="371" xfId="6" applyFont="1" applyFill="1" applyBorder="1" applyAlignment="1" applyProtection="1">
      <alignment vertical="center"/>
    </xf>
    <xf numFmtId="38" fontId="35" fillId="0" borderId="45" xfId="6" applyFont="1" applyFill="1" applyBorder="1" applyAlignment="1" applyProtection="1">
      <alignment vertical="center"/>
    </xf>
    <xf numFmtId="38" fontId="35" fillId="0" borderId="59" xfId="6" applyFont="1" applyFill="1" applyBorder="1" applyAlignment="1" applyProtection="1">
      <alignment vertical="center"/>
    </xf>
    <xf numFmtId="0" fontId="35" fillId="4" borderId="376" xfId="5" applyFont="1" applyFill="1" applyBorder="1" applyAlignment="1" applyProtection="1">
      <alignment horizontal="center" vertical="center"/>
    </xf>
    <xf numFmtId="0" fontId="35" fillId="4" borderId="6" xfId="5" applyFont="1" applyFill="1" applyBorder="1" applyAlignment="1" applyProtection="1">
      <alignment horizontal="center" vertical="center"/>
    </xf>
    <xf numFmtId="0" fontId="35" fillId="4" borderId="383" xfId="5" applyFont="1" applyFill="1" applyBorder="1" applyAlignment="1" applyProtection="1">
      <alignment horizontal="center" vertical="center"/>
    </xf>
    <xf numFmtId="0" fontId="35" fillId="4" borderId="383" xfId="5" applyFont="1" applyFill="1" applyBorder="1" applyAlignment="1" applyProtection="1">
      <alignment horizontal="center" vertical="center" shrinkToFit="1"/>
    </xf>
    <xf numFmtId="0" fontId="60" fillId="0" borderId="0" xfId="5" applyFont="1" applyBorder="1" applyAlignment="1" applyProtection="1">
      <alignment horizontal="left" vertical="center"/>
    </xf>
    <xf numFmtId="0" fontId="61" fillId="2" borderId="0" xfId="5" applyFont="1" applyFill="1" applyBorder="1" applyAlignment="1" applyProtection="1">
      <alignment horizontal="left" vertical="center"/>
    </xf>
    <xf numFmtId="0" fontId="62" fillId="0" borderId="0" xfId="5" applyFont="1" applyAlignment="1" applyProtection="1">
      <alignment vertical="center"/>
    </xf>
    <xf numFmtId="0" fontId="63" fillId="0" borderId="0" xfId="5" applyFont="1" applyAlignment="1" applyProtection="1">
      <alignment vertical="center"/>
    </xf>
    <xf numFmtId="0" fontId="63" fillId="0" borderId="0" xfId="5" applyFont="1" applyFill="1" applyAlignment="1" applyProtection="1">
      <alignment vertical="center"/>
    </xf>
    <xf numFmtId="0" fontId="63" fillId="0" borderId="0" xfId="5" applyFont="1" applyAlignment="1" applyProtection="1">
      <alignment horizontal="center" vertical="center"/>
    </xf>
    <xf numFmtId="0" fontId="64" fillId="0" borderId="0" xfId="5" applyFont="1" applyBorder="1" applyAlignment="1" applyProtection="1">
      <alignment horizontal="left" vertical="center"/>
    </xf>
    <xf numFmtId="0" fontId="63" fillId="0" borderId="0" xfId="5" applyFont="1" applyBorder="1" applyAlignment="1" applyProtection="1">
      <alignment horizontal="left" vertical="center"/>
    </xf>
    <xf numFmtId="0" fontId="35" fillId="2" borderId="0" xfId="0" applyFont="1" applyFill="1">
      <alignment vertical="center"/>
    </xf>
    <xf numFmtId="0" fontId="10" fillId="4" borderId="36" xfId="0" applyFont="1" applyFill="1" applyBorder="1" applyAlignment="1">
      <alignment horizontal="center" vertical="center" wrapText="1"/>
    </xf>
    <xf numFmtId="0" fontId="10" fillId="4" borderId="384" xfId="0" applyFont="1" applyFill="1" applyBorder="1" applyAlignment="1">
      <alignment horizontal="center" vertical="center" wrapText="1"/>
    </xf>
    <xf numFmtId="0" fontId="7" fillId="0" borderId="29" xfId="0" applyFont="1" applyBorder="1" applyAlignment="1">
      <alignment horizontal="center" vertical="center"/>
    </xf>
    <xf numFmtId="0" fontId="7" fillId="0" borderId="385" xfId="0" applyFont="1" applyBorder="1" applyAlignment="1">
      <alignment horizontal="center" vertical="center"/>
    </xf>
    <xf numFmtId="0" fontId="7" fillId="0" borderId="386" xfId="0" applyFont="1" applyBorder="1" applyAlignment="1">
      <alignment horizontal="center" vertical="center"/>
    </xf>
    <xf numFmtId="0" fontId="69" fillId="0" borderId="0" xfId="0" applyFont="1">
      <alignment vertical="center"/>
    </xf>
    <xf numFmtId="0" fontId="70" fillId="0" borderId="0" xfId="0" applyFont="1">
      <alignment vertical="center"/>
    </xf>
    <xf numFmtId="0" fontId="8" fillId="0" borderId="0" xfId="23" applyFont="1" applyAlignment="1">
      <alignment vertical="center"/>
    </xf>
    <xf numFmtId="0" fontId="7" fillId="0" borderId="0" xfId="23" applyFont="1" applyAlignment="1">
      <alignment horizontal="left" vertical="center" indent="1"/>
    </xf>
    <xf numFmtId="0" fontId="7" fillId="0" borderId="0" xfId="23" applyFont="1" applyAlignment="1">
      <alignment horizontal="center" vertical="center"/>
    </xf>
    <xf numFmtId="0" fontId="7" fillId="4" borderId="56" xfId="23" applyFont="1" applyFill="1" applyBorder="1" applyAlignment="1">
      <alignment horizontal="center" vertical="center"/>
    </xf>
    <xf numFmtId="0" fontId="7" fillId="4" borderId="1" xfId="23" applyFont="1" applyFill="1" applyBorder="1" applyAlignment="1">
      <alignment horizontal="center" vertical="center"/>
    </xf>
    <xf numFmtId="0" fontId="7" fillId="4" borderId="3" xfId="23" applyFont="1" applyFill="1" applyBorder="1" applyAlignment="1">
      <alignment horizontal="center" vertical="center"/>
    </xf>
    <xf numFmtId="0" fontId="7" fillId="4" borderId="1" xfId="23" applyFont="1" applyFill="1" applyBorder="1" applyAlignment="1">
      <alignment horizontal="center" vertical="center" wrapText="1"/>
    </xf>
    <xf numFmtId="0" fontId="10" fillId="0" borderId="45" xfId="23" applyFont="1" applyBorder="1" applyAlignment="1">
      <alignment vertical="center"/>
    </xf>
    <xf numFmtId="0" fontId="10" fillId="0" borderId="0" xfId="23" applyFont="1" applyAlignment="1">
      <alignment vertical="center"/>
    </xf>
    <xf numFmtId="0" fontId="10" fillId="0" borderId="144" xfId="23" applyFont="1" applyBorder="1" applyAlignment="1">
      <alignment vertical="center"/>
    </xf>
    <xf numFmtId="0" fontId="10" fillId="0" borderId="47" xfId="23" applyFont="1" applyBorder="1" applyAlignment="1">
      <alignment vertical="center"/>
    </xf>
    <xf numFmtId="0" fontId="10" fillId="0" borderId="357" xfId="23" applyFont="1" applyBorder="1" applyAlignment="1">
      <alignment vertical="center"/>
    </xf>
    <xf numFmtId="0" fontId="10" fillId="0" borderId="224" xfId="23" applyFont="1" applyBorder="1" applyAlignment="1">
      <alignment vertical="center"/>
    </xf>
    <xf numFmtId="0" fontId="10" fillId="0" borderId="223" xfId="23" applyFont="1" applyBorder="1" applyAlignment="1">
      <alignment vertical="center"/>
    </xf>
    <xf numFmtId="0" fontId="10" fillId="0" borderId="164" xfId="23" applyFont="1" applyBorder="1" applyAlignment="1">
      <alignment vertical="center"/>
    </xf>
    <xf numFmtId="0" fontId="10" fillId="0" borderId="50" xfId="23" applyFont="1" applyBorder="1" applyAlignment="1">
      <alignment vertical="center"/>
    </xf>
    <xf numFmtId="184" fontId="10" fillId="4" borderId="1" xfId="21" applyNumberFormat="1" applyFont="1" applyFill="1" applyBorder="1" applyAlignment="1">
      <alignment vertical="center"/>
    </xf>
    <xf numFmtId="0" fontId="10" fillId="4" borderId="1" xfId="23" applyFont="1" applyFill="1" applyBorder="1" applyAlignment="1">
      <alignment vertical="center"/>
    </xf>
    <xf numFmtId="0" fontId="10" fillId="0" borderId="4" xfId="23" applyFont="1" applyBorder="1" applyAlignment="1">
      <alignment vertical="center"/>
    </xf>
    <xf numFmtId="0" fontId="10" fillId="0" borderId="0" xfId="23" applyFont="1" applyAlignment="1">
      <alignment horizontal="left" vertical="center" indent="1"/>
    </xf>
    <xf numFmtId="0" fontId="10" fillId="0" borderId="0" xfId="23" applyFont="1" applyAlignment="1">
      <alignment horizontal="center" vertical="center"/>
    </xf>
    <xf numFmtId="0" fontId="73" fillId="0" borderId="0" xfId="34" applyFont="1" applyAlignment="1">
      <alignment vertical="top"/>
    </xf>
    <xf numFmtId="0" fontId="72" fillId="0" borderId="0" xfId="34" applyAlignment="1">
      <alignment vertical="top"/>
    </xf>
    <xf numFmtId="0" fontId="57" fillId="0" borderId="0" xfId="0" applyFont="1" applyAlignment="1">
      <alignment vertical="center"/>
    </xf>
    <xf numFmtId="0" fontId="25" fillId="0" borderId="0" xfId="0" applyFont="1">
      <alignment vertical="center"/>
    </xf>
    <xf numFmtId="49" fontId="7" fillId="0" borderId="0" xfId="0" applyNumberFormat="1" applyFont="1" applyAlignment="1">
      <alignment horizontal="right" vertical="center" indent="2"/>
    </xf>
    <xf numFmtId="0" fontId="25" fillId="0" borderId="0" xfId="0" applyFont="1" applyAlignment="1">
      <alignment vertical="center"/>
    </xf>
    <xf numFmtId="0" fontId="7" fillId="0" borderId="0" xfId="0" applyFont="1" applyAlignment="1">
      <alignment horizontal="center" vertical="center"/>
    </xf>
    <xf numFmtId="0" fontId="7" fillId="0" borderId="0" xfId="0" quotePrefix="1" applyFont="1" applyAlignment="1">
      <alignment horizontal="right" vertical="center"/>
    </xf>
    <xf numFmtId="0" fontId="7" fillId="0" borderId="0" xfId="0" quotePrefix="1" applyFont="1">
      <alignment vertical="center"/>
    </xf>
    <xf numFmtId="49" fontId="7" fillId="0" borderId="0" xfId="0" quotePrefix="1" applyNumberFormat="1" applyFont="1" applyAlignment="1">
      <alignment horizontal="right" vertical="center" indent="2"/>
    </xf>
    <xf numFmtId="0" fontId="72" fillId="0" borderId="0" xfId="34" applyAlignment="1">
      <alignment vertical="center"/>
    </xf>
    <xf numFmtId="0" fontId="72" fillId="0" borderId="0" xfId="34" applyFill="1" applyAlignment="1">
      <alignment vertical="center"/>
    </xf>
    <xf numFmtId="205" fontId="10" fillId="4" borderId="1" xfId="21" applyNumberFormat="1" applyFont="1" applyFill="1" applyBorder="1" applyAlignment="1">
      <alignment vertical="center"/>
    </xf>
    <xf numFmtId="38" fontId="10" fillId="4" borderId="1" xfId="1" applyFont="1" applyFill="1" applyBorder="1" applyAlignment="1" applyProtection="1">
      <alignment horizontal="center" vertical="center" wrapText="1"/>
    </xf>
    <xf numFmtId="176" fontId="10" fillId="4" borderId="1" xfId="1" applyNumberFormat="1" applyFont="1" applyFill="1" applyBorder="1" applyAlignment="1" applyProtection="1">
      <alignment horizontal="center" vertical="center" wrapText="1"/>
    </xf>
    <xf numFmtId="38" fontId="10" fillId="4" borderId="4" xfId="1" applyFont="1" applyFill="1" applyBorder="1" applyAlignment="1" applyProtection="1">
      <alignment horizontal="center" vertical="center" wrapText="1"/>
    </xf>
    <xf numFmtId="38" fontId="10" fillId="4" borderId="3" xfId="1" applyFont="1" applyFill="1" applyBorder="1" applyAlignment="1" applyProtection="1">
      <alignment horizontal="center" vertical="center"/>
    </xf>
    <xf numFmtId="38" fontId="10" fillId="4" borderId="3" xfId="1" applyFont="1" applyFill="1" applyBorder="1" applyAlignment="1" applyProtection="1">
      <alignment horizontal="center" vertical="center" wrapText="1"/>
    </xf>
    <xf numFmtId="38" fontId="10" fillId="4" borderId="45" xfId="1" applyFont="1" applyFill="1" applyBorder="1" applyAlignment="1" applyProtection="1">
      <alignment horizontal="center" vertical="center" wrapText="1"/>
    </xf>
    <xf numFmtId="38" fontId="26" fillId="0" borderId="47" xfId="1" applyFont="1" applyBorder="1" applyAlignment="1">
      <alignment horizontal="right" vertical="center"/>
    </xf>
    <xf numFmtId="38" fontId="26" fillId="8" borderId="184" xfId="1" applyFont="1" applyFill="1" applyBorder="1" applyAlignment="1">
      <alignment horizontal="left" vertical="center"/>
    </xf>
    <xf numFmtId="38" fontId="10" fillId="0" borderId="0" xfId="1" applyFont="1" applyFill="1" applyBorder="1" applyAlignment="1" applyProtection="1">
      <alignment horizontal="center" vertical="center" wrapText="1"/>
    </xf>
    <xf numFmtId="38" fontId="10" fillId="0" borderId="28" xfId="1" applyFont="1" applyFill="1" applyBorder="1" applyAlignment="1" applyProtection="1">
      <alignment horizontal="center" vertical="center"/>
    </xf>
    <xf numFmtId="38" fontId="10" fillId="4" borderId="1" xfId="1" applyFont="1" applyFill="1" applyBorder="1" applyAlignment="1" applyProtection="1">
      <alignment horizontal="center" vertical="center"/>
    </xf>
    <xf numFmtId="38" fontId="10" fillId="0" borderId="1" xfId="1" applyFont="1" applyFill="1" applyBorder="1" applyAlignment="1" applyProtection="1">
      <alignment horizontal="center" vertical="center"/>
    </xf>
    <xf numFmtId="38" fontId="10" fillId="8" borderId="1" xfId="1" applyFont="1" applyFill="1" applyBorder="1" applyAlignment="1" applyProtection="1">
      <alignment horizontal="center" vertical="center" wrapText="1"/>
    </xf>
    <xf numFmtId="38" fontId="10" fillId="2" borderId="1" xfId="1" applyFont="1" applyFill="1" applyBorder="1" applyAlignment="1" applyProtection="1">
      <alignment horizontal="center" vertical="center"/>
    </xf>
    <xf numFmtId="38" fontId="26" fillId="5" borderId="2" xfId="1" applyFont="1" applyFill="1" applyBorder="1" applyAlignment="1">
      <alignment horizontal="center" vertical="center" wrapText="1"/>
    </xf>
    <xf numFmtId="38" fontId="26" fillId="5" borderId="4" xfId="1" applyFont="1" applyFill="1" applyBorder="1" applyAlignment="1">
      <alignment horizontal="center" vertical="center" wrapText="1"/>
    </xf>
    <xf numFmtId="38" fontId="26" fillId="5" borderId="1" xfId="1" applyFont="1" applyFill="1" applyBorder="1" applyAlignment="1">
      <alignment horizontal="center" vertical="center"/>
    </xf>
    <xf numFmtId="38" fontId="26" fillId="5" borderId="1" xfId="1" applyFont="1" applyFill="1" applyBorder="1" applyAlignment="1">
      <alignment horizontal="center" vertical="center" wrapText="1"/>
    </xf>
    <xf numFmtId="38" fontId="26" fillId="4" borderId="216" xfId="1" applyFont="1" applyFill="1" applyBorder="1" applyAlignment="1">
      <alignment horizontal="left" vertical="center"/>
    </xf>
    <xf numFmtId="38" fontId="26" fillId="4" borderId="144" xfId="1" applyFont="1" applyFill="1" applyBorder="1" applyAlignment="1">
      <alignment horizontal="left" vertical="center"/>
    </xf>
    <xf numFmtId="38" fontId="10" fillId="4" borderId="55" xfId="2" applyFont="1" applyFill="1" applyBorder="1" applyAlignment="1" applyProtection="1">
      <alignment horizontal="center" vertical="center" wrapText="1"/>
    </xf>
    <xf numFmtId="38" fontId="10" fillId="0" borderId="28" xfId="2" applyFont="1" applyFill="1" applyBorder="1" applyAlignment="1">
      <alignment horizontal="center" vertical="center"/>
    </xf>
    <xf numFmtId="38" fontId="10" fillId="0" borderId="53" xfId="2" applyFont="1" applyFill="1" applyBorder="1" applyAlignment="1">
      <alignment horizontal="center" vertical="center"/>
    </xf>
    <xf numFmtId="38" fontId="10" fillId="0" borderId="55" xfId="2" applyFont="1" applyFill="1" applyBorder="1" applyAlignment="1">
      <alignment horizontal="center" vertical="center"/>
    </xf>
    <xf numFmtId="0" fontId="7" fillId="5" borderId="27" xfId="0" applyFont="1" applyFill="1" applyBorder="1" applyAlignment="1">
      <alignment horizontal="center" vertical="center"/>
    </xf>
    <xf numFmtId="0" fontId="7" fillId="5" borderId="54" xfId="0" applyFont="1" applyFill="1" applyBorder="1" applyAlignment="1">
      <alignment horizontal="center" vertical="center"/>
    </xf>
    <xf numFmtId="0" fontId="7" fillId="5" borderId="41" xfId="0" applyFont="1" applyFill="1" applyBorder="1" applyAlignment="1">
      <alignment horizontal="center" vertical="center"/>
    </xf>
    <xf numFmtId="0" fontId="7" fillId="0" borderId="0" xfId="23" applyFont="1" applyAlignment="1">
      <alignment vertical="center"/>
    </xf>
    <xf numFmtId="0" fontId="10" fillId="0" borderId="1" xfId="23" applyFont="1" applyBorder="1" applyAlignment="1">
      <alignment horizontal="left" vertical="center" indent="1"/>
    </xf>
    <xf numFmtId="0" fontId="10" fillId="4" borderId="1" xfId="23" applyFont="1" applyFill="1" applyBorder="1" applyAlignment="1">
      <alignment horizontal="center" vertical="center"/>
    </xf>
    <xf numFmtId="0" fontId="57" fillId="0" borderId="0" xfId="0" applyFont="1" applyAlignment="1">
      <alignment horizontal="center" vertical="center"/>
    </xf>
    <xf numFmtId="38" fontId="10" fillId="2" borderId="2" xfId="1" applyFont="1" applyFill="1" applyBorder="1" applyAlignment="1" applyProtection="1">
      <alignment horizontal="center" vertical="center"/>
    </xf>
    <xf numFmtId="38" fontId="10" fillId="2" borderId="3" xfId="1" applyFont="1" applyFill="1" applyBorder="1" applyAlignment="1" applyProtection="1">
      <alignment horizontal="center" vertical="center"/>
    </xf>
    <xf numFmtId="38" fontId="10" fillId="2" borderId="4" xfId="1" applyFont="1" applyFill="1" applyBorder="1" applyAlignment="1" applyProtection="1">
      <alignment horizontal="center" vertical="center"/>
    </xf>
    <xf numFmtId="0" fontId="8" fillId="0" borderId="0" xfId="0" applyFont="1" applyAlignment="1">
      <alignment horizontal="center" vertical="center"/>
    </xf>
    <xf numFmtId="0" fontId="7" fillId="0" borderId="0" xfId="0" applyFont="1" applyAlignment="1">
      <alignment vertical="center" wrapText="1"/>
    </xf>
    <xf numFmtId="0" fontId="14" fillId="0" borderId="0" xfId="0" applyFont="1" applyAlignment="1">
      <alignment horizontal="left" vertical="center" wrapText="1"/>
    </xf>
    <xf numFmtId="0" fontId="7" fillId="0" borderId="0" xfId="0" applyFont="1" applyAlignment="1">
      <alignment vertical="top" wrapText="1"/>
    </xf>
    <xf numFmtId="38" fontId="10" fillId="3" borderId="2" xfId="1" applyFont="1" applyFill="1" applyBorder="1" applyAlignment="1" applyProtection="1">
      <alignment horizontal="center" vertical="center" wrapText="1"/>
    </xf>
    <xf numFmtId="38" fontId="10" fillId="3" borderId="3" xfId="1" applyFont="1" applyFill="1" applyBorder="1" applyAlignment="1" applyProtection="1">
      <alignment horizontal="center" vertical="center" wrapText="1"/>
    </xf>
    <xf numFmtId="38" fontId="10" fillId="3" borderId="4" xfId="1" applyFont="1" applyFill="1" applyBorder="1" applyAlignment="1" applyProtection="1">
      <alignment horizontal="center" vertical="center" wrapText="1"/>
    </xf>
    <xf numFmtId="0" fontId="7" fillId="0" borderId="0" xfId="0" applyFont="1" applyAlignment="1">
      <alignment horizontal="left" vertical="center" wrapText="1"/>
    </xf>
    <xf numFmtId="38" fontId="32" fillId="0" borderId="53" xfId="2" applyFont="1" applyFill="1" applyBorder="1" applyAlignment="1" applyProtection="1">
      <alignment horizontal="center" vertical="center" wrapText="1"/>
    </xf>
    <xf numFmtId="38" fontId="32" fillId="0" borderId="55" xfId="2" applyFont="1" applyFill="1" applyBorder="1" applyAlignment="1" applyProtection="1">
      <alignment horizontal="center" vertical="center" wrapText="1"/>
    </xf>
    <xf numFmtId="38" fontId="32" fillId="0" borderId="28" xfId="2" applyFont="1" applyFill="1" applyBorder="1" applyAlignment="1" applyProtection="1">
      <alignment horizontal="center" vertical="center" shrinkToFit="1"/>
    </xf>
    <xf numFmtId="38" fontId="32" fillId="0" borderId="53" xfId="2" applyFont="1" applyFill="1" applyBorder="1" applyAlignment="1" applyProtection="1">
      <alignment horizontal="center" vertical="center" shrinkToFit="1"/>
    </xf>
    <xf numFmtId="38" fontId="32" fillId="0" borderId="55" xfId="2" applyFont="1" applyFill="1" applyBorder="1" applyAlignment="1" applyProtection="1">
      <alignment horizontal="center" vertical="center" shrinkToFit="1"/>
    </xf>
    <xf numFmtId="38" fontId="10" fillId="4" borderId="28" xfId="1" applyFont="1" applyFill="1" applyBorder="1" applyAlignment="1" applyProtection="1">
      <alignment horizontal="center" vertical="center" wrapText="1"/>
    </xf>
    <xf numFmtId="38" fontId="10" fillId="4" borderId="55" xfId="1" applyFont="1" applyFill="1" applyBorder="1" applyAlignment="1" applyProtection="1">
      <alignment horizontal="center" vertical="center" wrapText="1"/>
    </xf>
    <xf numFmtId="176" fontId="10" fillId="4" borderId="28" xfId="1" applyNumberFormat="1" applyFont="1" applyFill="1" applyBorder="1" applyAlignment="1" applyProtection="1">
      <alignment horizontal="center" vertical="center" wrapText="1"/>
    </xf>
    <xf numFmtId="176" fontId="10" fillId="4" borderId="55" xfId="1" applyNumberFormat="1" applyFont="1" applyFill="1" applyBorder="1" applyAlignment="1" applyProtection="1">
      <alignment horizontal="center" vertical="center" wrapText="1"/>
    </xf>
    <xf numFmtId="38" fontId="10" fillId="4" borderId="2" xfId="1" applyFont="1" applyFill="1" applyBorder="1" applyAlignment="1" applyProtection="1">
      <alignment horizontal="center" vertical="center"/>
    </xf>
    <xf numFmtId="38" fontId="10" fillId="4" borderId="3" xfId="1" applyFont="1" applyFill="1" applyBorder="1" applyAlignment="1" applyProtection="1">
      <alignment horizontal="center" vertical="center"/>
    </xf>
    <xf numFmtId="38" fontId="10" fillId="4" borderId="4" xfId="1" applyFont="1" applyFill="1" applyBorder="1" applyAlignment="1" applyProtection="1">
      <alignment horizontal="center" vertical="center"/>
    </xf>
    <xf numFmtId="38" fontId="10" fillId="4" borderId="53" xfId="1" applyFont="1" applyFill="1" applyBorder="1" applyAlignment="1" applyProtection="1">
      <alignment horizontal="center" vertical="center" wrapText="1"/>
    </xf>
    <xf numFmtId="38" fontId="10" fillId="8" borderId="56" xfId="1" applyFont="1" applyFill="1" applyBorder="1" applyAlignment="1" applyProtection="1">
      <alignment horizontal="center" vertical="center" wrapText="1"/>
    </xf>
    <xf numFmtId="38" fontId="10" fillId="8" borderId="59" xfId="1" applyFont="1" applyFill="1" applyBorder="1" applyAlignment="1" applyProtection="1">
      <alignment horizontal="center" vertical="center" wrapText="1"/>
    </xf>
    <xf numFmtId="38" fontId="10" fillId="8" borderId="51" xfId="1" applyFont="1" applyFill="1" applyBorder="1" applyAlignment="1" applyProtection="1">
      <alignment horizontal="center" vertical="center" wrapText="1"/>
    </xf>
    <xf numFmtId="38" fontId="10" fillId="4" borderId="154" xfId="1" applyFont="1" applyFill="1" applyBorder="1" applyAlignment="1" applyProtection="1">
      <alignment horizontal="center" vertical="center" wrapText="1"/>
    </xf>
    <xf numFmtId="38" fontId="10" fillId="8" borderId="45" xfId="1" applyFont="1" applyFill="1" applyBorder="1" applyAlignment="1" applyProtection="1">
      <alignment horizontal="center" vertical="center" wrapText="1"/>
    </xf>
    <xf numFmtId="38" fontId="10" fillId="8" borderId="47" xfId="1" applyFont="1" applyFill="1" applyBorder="1" applyAlignment="1" applyProtection="1">
      <alignment horizontal="center" vertical="center" wrapText="1"/>
    </xf>
    <xf numFmtId="38" fontId="10" fillId="4" borderId="2" xfId="1" applyFont="1" applyFill="1" applyBorder="1" applyAlignment="1" applyProtection="1">
      <alignment horizontal="center" vertical="center" wrapText="1"/>
    </xf>
    <xf numFmtId="38" fontId="10" fillId="4" borderId="4" xfId="1" applyFont="1" applyFill="1" applyBorder="1" applyAlignment="1" applyProtection="1">
      <alignment horizontal="center" vertical="center" wrapText="1"/>
    </xf>
    <xf numFmtId="38" fontId="10" fillId="4" borderId="1" xfId="1" applyFont="1" applyFill="1" applyBorder="1" applyAlignment="1" applyProtection="1">
      <alignment horizontal="center" vertical="center" wrapText="1"/>
    </xf>
    <xf numFmtId="176" fontId="10" fillId="4" borderId="1" xfId="1" applyNumberFormat="1" applyFont="1" applyFill="1" applyBorder="1" applyAlignment="1" applyProtection="1">
      <alignment horizontal="center" vertical="center" wrapText="1"/>
    </xf>
    <xf numFmtId="3" fontId="10" fillId="0" borderId="1" xfId="1" applyNumberFormat="1" applyFont="1" applyFill="1" applyBorder="1" applyAlignment="1" applyProtection="1">
      <alignment horizontal="right" vertical="center"/>
    </xf>
    <xf numFmtId="38" fontId="10" fillId="4" borderId="3" xfId="1" applyFont="1" applyFill="1" applyBorder="1" applyAlignment="1" applyProtection="1">
      <alignment horizontal="center" vertical="center" wrapText="1"/>
    </xf>
    <xf numFmtId="38" fontId="10" fillId="0" borderId="208" xfId="1" applyFont="1" applyFill="1" applyBorder="1" applyAlignment="1" applyProtection="1">
      <alignment horizontal="center" vertical="center" wrapText="1"/>
    </xf>
    <xf numFmtId="38" fontId="45" fillId="0" borderId="0" xfId="1" applyFont="1" applyFill="1" applyBorder="1" applyAlignment="1" applyProtection="1">
      <alignment horizontal="center" vertical="center" wrapText="1"/>
    </xf>
    <xf numFmtId="38" fontId="10" fillId="4" borderId="56" xfId="1" applyFont="1" applyFill="1" applyBorder="1" applyAlignment="1" applyProtection="1">
      <alignment horizontal="center" vertical="center" wrapText="1"/>
    </xf>
    <xf numFmtId="38" fontId="10" fillId="4" borderId="45" xfId="1" applyFont="1" applyFill="1" applyBorder="1" applyAlignment="1" applyProtection="1">
      <alignment horizontal="center" vertical="center" wrapText="1"/>
    </xf>
    <xf numFmtId="38" fontId="10" fillId="4" borderId="59" xfId="1" applyFont="1" applyFill="1" applyBorder="1" applyAlignment="1" applyProtection="1">
      <alignment horizontal="center" vertical="center" wrapText="1"/>
    </xf>
    <xf numFmtId="38" fontId="10" fillId="4" borderId="51" xfId="1" applyFont="1" applyFill="1" applyBorder="1" applyAlignment="1" applyProtection="1">
      <alignment horizontal="center" vertical="center" wrapText="1"/>
    </xf>
    <xf numFmtId="38" fontId="10" fillId="4" borderId="47" xfId="1" applyFont="1" applyFill="1" applyBorder="1" applyAlignment="1" applyProtection="1">
      <alignment horizontal="center" vertical="center" wrapText="1"/>
    </xf>
    <xf numFmtId="38" fontId="45" fillId="4" borderId="56" xfId="1" applyFont="1" applyFill="1" applyBorder="1" applyAlignment="1" applyProtection="1">
      <alignment horizontal="center" vertical="center" wrapText="1"/>
    </xf>
    <xf numFmtId="38" fontId="45" fillId="4" borderId="51" xfId="1" applyFont="1" applyFill="1" applyBorder="1" applyAlignment="1" applyProtection="1">
      <alignment horizontal="center" vertical="center" wrapText="1"/>
    </xf>
    <xf numFmtId="40" fontId="26" fillId="8" borderId="1" xfId="1" applyNumberFormat="1" applyFont="1" applyFill="1" applyBorder="1" applyAlignment="1">
      <alignment vertical="center"/>
    </xf>
    <xf numFmtId="38" fontId="26" fillId="8" borderId="184" xfId="1" applyFont="1" applyFill="1" applyBorder="1" applyAlignment="1">
      <alignment horizontal="left" vertical="center"/>
    </xf>
    <xf numFmtId="38" fontId="26" fillId="8" borderId="323" xfId="1" applyFont="1" applyFill="1" applyBorder="1" applyAlignment="1">
      <alignment horizontal="left" vertical="center"/>
    </xf>
    <xf numFmtId="38" fontId="26" fillId="8" borderId="51" xfId="1" applyFont="1" applyFill="1" applyBorder="1" applyAlignment="1">
      <alignment vertical="center"/>
    </xf>
    <xf numFmtId="38" fontId="26" fillId="8" borderId="47" xfId="1" applyFont="1" applyFill="1" applyBorder="1" applyAlignment="1">
      <alignment vertical="center"/>
    </xf>
    <xf numFmtId="38" fontId="26" fillId="8" borderId="154" xfId="1" applyFont="1" applyFill="1" applyBorder="1" applyAlignment="1">
      <alignment vertical="center"/>
    </xf>
    <xf numFmtId="38" fontId="26" fillId="8" borderId="1" xfId="1" applyFont="1" applyFill="1" applyBorder="1" applyAlignment="1">
      <alignment vertical="center"/>
    </xf>
    <xf numFmtId="38" fontId="26" fillId="4" borderId="1" xfId="1" applyFont="1" applyFill="1" applyBorder="1" applyAlignment="1">
      <alignment vertical="center"/>
    </xf>
    <xf numFmtId="38" fontId="26" fillId="8" borderId="326" xfId="1" applyFont="1" applyFill="1" applyBorder="1" applyAlignment="1">
      <alignment horizontal="center" vertical="center" wrapText="1"/>
    </xf>
    <xf numFmtId="38" fontId="26" fillId="8" borderId="184" xfId="1" applyFont="1" applyFill="1" applyBorder="1" applyAlignment="1">
      <alignment horizontal="center" vertical="center" wrapText="1"/>
    </xf>
    <xf numFmtId="38" fontId="26" fillId="8" borderId="323" xfId="1" applyFont="1" applyFill="1" applyBorder="1" applyAlignment="1">
      <alignment horizontal="center" vertical="center" wrapText="1"/>
    </xf>
    <xf numFmtId="38" fontId="26" fillId="8" borderId="179" xfId="1" applyFont="1" applyFill="1" applyBorder="1" applyAlignment="1">
      <alignment horizontal="center" vertical="center" wrapText="1"/>
    </xf>
    <xf numFmtId="0" fontId="5" fillId="8" borderId="185" xfId="16" applyFill="1" applyBorder="1">
      <alignment vertical="center"/>
    </xf>
    <xf numFmtId="38" fontId="26" fillId="8" borderId="327" xfId="1" applyFont="1" applyFill="1" applyBorder="1" applyAlignment="1">
      <alignment horizontal="center" vertical="center" wrapText="1"/>
    </xf>
    <xf numFmtId="38" fontId="26" fillId="8" borderId="205" xfId="1" applyFont="1" applyFill="1" applyBorder="1" applyAlignment="1">
      <alignment horizontal="center" vertical="center" wrapText="1"/>
    </xf>
    <xf numFmtId="38" fontId="26" fillId="8" borderId="217" xfId="1" applyFont="1" applyFill="1" applyBorder="1" applyAlignment="1">
      <alignment horizontal="left" vertical="center"/>
    </xf>
    <xf numFmtId="38" fontId="26" fillId="8" borderId="224" xfId="1" applyFont="1" applyFill="1" applyBorder="1" applyAlignment="1">
      <alignment horizontal="left" vertical="center"/>
    </xf>
    <xf numFmtId="38" fontId="26" fillId="8" borderId="1" xfId="1" applyFont="1" applyFill="1" applyBorder="1" applyAlignment="1">
      <alignment horizontal="center" vertical="center" wrapText="1"/>
    </xf>
    <xf numFmtId="38" fontId="26" fillId="8" borderId="326" xfId="1" applyFont="1" applyFill="1" applyBorder="1" applyAlignment="1">
      <alignment horizontal="left" vertical="center"/>
    </xf>
    <xf numFmtId="38" fontId="26" fillId="8" borderId="216" xfId="1" applyFont="1" applyFill="1" applyBorder="1" applyAlignment="1">
      <alignment horizontal="left" vertical="center"/>
    </xf>
    <xf numFmtId="38" fontId="26" fillId="8" borderId="144" xfId="1" applyFont="1" applyFill="1" applyBorder="1" applyAlignment="1">
      <alignment horizontal="left" vertical="center"/>
    </xf>
    <xf numFmtId="38" fontId="26" fillId="0" borderId="47" xfId="1" applyFont="1" applyBorder="1" applyAlignment="1">
      <alignment horizontal="right" vertical="center"/>
    </xf>
    <xf numFmtId="38" fontId="26" fillId="4" borderId="2" xfId="1" applyFont="1" applyFill="1" applyBorder="1" applyAlignment="1">
      <alignment horizontal="center" vertical="center"/>
    </xf>
    <xf numFmtId="38" fontId="26" fillId="4" borderId="3" xfId="1" applyFont="1" applyFill="1" applyBorder="1" applyAlignment="1">
      <alignment horizontal="center" vertical="center"/>
    </xf>
    <xf numFmtId="38" fontId="26" fillId="4" borderId="4" xfId="1" applyFont="1" applyFill="1" applyBorder="1" applyAlignment="1">
      <alignment horizontal="center" vertical="center"/>
    </xf>
    <xf numFmtId="38" fontId="26" fillId="4" borderId="28" xfId="1" applyFont="1" applyFill="1" applyBorder="1" applyAlignment="1">
      <alignment horizontal="center" vertical="center"/>
    </xf>
    <xf numFmtId="38" fontId="26" fillId="4" borderId="53" xfId="1" applyFont="1" applyFill="1" applyBorder="1" applyAlignment="1">
      <alignment horizontal="center" vertical="center"/>
    </xf>
    <xf numFmtId="38" fontId="26" fillId="4" borderId="2" xfId="1" applyFont="1" applyFill="1" applyBorder="1" applyAlignment="1">
      <alignment horizontal="center" vertical="center" wrapText="1"/>
    </xf>
    <xf numFmtId="38" fontId="26" fillId="4" borderId="3" xfId="1" applyFont="1" applyFill="1" applyBorder="1" applyAlignment="1">
      <alignment horizontal="center" vertical="center" wrapText="1"/>
    </xf>
    <xf numFmtId="38" fontId="26" fillId="4" borderId="4" xfId="1" applyFont="1" applyFill="1" applyBorder="1" applyAlignment="1">
      <alignment horizontal="center" vertical="center" wrapText="1"/>
    </xf>
    <xf numFmtId="38" fontId="26" fillId="8" borderId="211" xfId="1" applyFont="1" applyFill="1" applyBorder="1" applyAlignment="1">
      <alignment horizontal="left" vertical="center"/>
    </xf>
    <xf numFmtId="38" fontId="26" fillId="8" borderId="223" xfId="1" applyFont="1" applyFill="1" applyBorder="1" applyAlignment="1">
      <alignment horizontal="left" vertical="center"/>
    </xf>
    <xf numFmtId="3" fontId="10" fillId="8" borderId="1" xfId="1" applyNumberFormat="1" applyFont="1" applyFill="1" applyBorder="1" applyAlignment="1" applyProtection="1">
      <alignment vertical="center"/>
    </xf>
    <xf numFmtId="38" fontId="10" fillId="0" borderId="0" xfId="1" applyFont="1" applyFill="1" applyBorder="1" applyAlignment="1" applyProtection="1">
      <alignment horizontal="center" vertical="center" wrapText="1"/>
    </xf>
    <xf numFmtId="38" fontId="10" fillId="0" borderId="28" xfId="1" applyFont="1" applyFill="1" applyBorder="1" applyAlignment="1" applyProtection="1">
      <alignment horizontal="center" vertical="center"/>
    </xf>
    <xf numFmtId="38" fontId="10" fillId="0" borderId="55" xfId="1" applyFont="1" applyFill="1" applyBorder="1" applyAlignment="1" applyProtection="1">
      <alignment horizontal="center" vertical="center"/>
    </xf>
    <xf numFmtId="3" fontId="10" fillId="0" borderId="326" xfId="1" applyNumberFormat="1" applyFont="1" applyFill="1" applyBorder="1" applyAlignment="1" applyProtection="1">
      <alignment vertical="center"/>
    </xf>
    <xf numFmtId="3" fontId="10" fillId="0" borderId="323" xfId="1" applyNumberFormat="1" applyFont="1" applyFill="1" applyBorder="1" applyAlignment="1" applyProtection="1">
      <alignment vertical="center"/>
    </xf>
    <xf numFmtId="3" fontId="10" fillId="0" borderId="222" xfId="1" applyNumberFormat="1" applyFont="1" applyFill="1" applyBorder="1" applyAlignment="1" applyProtection="1">
      <alignment horizontal="right" vertical="center"/>
    </xf>
    <xf numFmtId="3" fontId="10" fillId="0" borderId="164" xfId="1" applyNumberFormat="1" applyFont="1" applyFill="1" applyBorder="1" applyAlignment="1" applyProtection="1">
      <alignment horizontal="right" vertical="center"/>
    </xf>
    <xf numFmtId="3" fontId="10" fillId="0" borderId="1" xfId="1" applyNumberFormat="1" applyFont="1" applyFill="1" applyBorder="1" applyAlignment="1" applyProtection="1">
      <alignment vertical="center"/>
    </xf>
    <xf numFmtId="38" fontId="10" fillId="0" borderId="28" xfId="1" applyFont="1" applyBorder="1" applyAlignment="1" applyProtection="1">
      <alignment horizontal="center" vertical="center"/>
    </xf>
    <xf numFmtId="38" fontId="10" fillId="0" borderId="53" xfId="1" applyFont="1" applyBorder="1" applyAlignment="1" applyProtection="1">
      <alignment horizontal="center" vertical="center"/>
    </xf>
    <xf numFmtId="38" fontId="10" fillId="0" borderId="55" xfId="1" applyFont="1" applyBorder="1" applyAlignment="1" applyProtection="1">
      <alignment horizontal="center" vertical="center"/>
    </xf>
    <xf numFmtId="38" fontId="10" fillId="0" borderId="28" xfId="1" applyFont="1" applyBorder="1" applyAlignment="1" applyProtection="1">
      <alignment horizontal="center" vertical="center" shrinkToFit="1"/>
    </xf>
    <xf numFmtId="38" fontId="10" fillId="0" borderId="53" xfId="1" applyFont="1" applyBorder="1" applyAlignment="1" applyProtection="1">
      <alignment horizontal="center" vertical="center" shrinkToFit="1"/>
    </xf>
    <xf numFmtId="38" fontId="10" fillId="0" borderId="55" xfId="1" applyFont="1" applyBorder="1" applyAlignment="1" applyProtection="1">
      <alignment horizontal="center" vertical="center" shrinkToFit="1"/>
    </xf>
    <xf numFmtId="0" fontId="10" fillId="0" borderId="47" xfId="1" applyNumberFormat="1" applyFont="1" applyBorder="1" applyAlignment="1" applyProtection="1">
      <alignment horizontal="center" vertical="center"/>
    </xf>
    <xf numFmtId="0" fontId="10" fillId="4" borderId="1" xfId="1" applyNumberFormat="1" applyFont="1" applyFill="1" applyBorder="1" applyAlignment="1" applyProtection="1">
      <alignment horizontal="center" vertical="center" wrapText="1"/>
    </xf>
    <xf numFmtId="193" fontId="10" fillId="4" borderId="2" xfId="1" applyNumberFormat="1" applyFont="1" applyFill="1" applyBorder="1" applyAlignment="1" applyProtection="1">
      <alignment horizontal="center" vertical="center" wrapText="1"/>
    </xf>
    <xf numFmtId="38" fontId="10" fillId="0" borderId="1" xfId="1" applyFont="1" applyBorder="1" applyAlignment="1" applyProtection="1">
      <alignment horizontal="center" vertical="center"/>
    </xf>
    <xf numFmtId="38" fontId="10" fillId="0" borderId="1" xfId="1" applyFont="1" applyBorder="1" applyAlignment="1" applyProtection="1">
      <alignment horizontal="center" vertical="center" shrinkToFit="1"/>
    </xf>
    <xf numFmtId="38" fontId="10" fillId="4" borderId="1" xfId="1" applyFont="1" applyFill="1" applyBorder="1" applyAlignment="1" applyProtection="1">
      <alignment horizontal="center" vertical="center"/>
    </xf>
    <xf numFmtId="38" fontId="10" fillId="0" borderId="1" xfId="1" applyFont="1" applyFill="1" applyBorder="1" applyAlignment="1" applyProtection="1">
      <alignment horizontal="center" vertical="center"/>
    </xf>
    <xf numFmtId="0" fontId="26" fillId="8" borderId="51" xfId="13" applyFont="1" applyFill="1" applyBorder="1" applyAlignment="1">
      <alignment horizontal="center" vertical="center" wrapText="1"/>
    </xf>
    <xf numFmtId="0" fontId="26" fillId="8" borderId="39" xfId="13" applyFont="1" applyFill="1" applyBorder="1" applyAlignment="1">
      <alignment horizontal="center" vertical="center" wrapText="1"/>
    </xf>
    <xf numFmtId="0" fontId="5" fillId="8" borderId="4" xfId="13" applyFill="1" applyBorder="1">
      <alignment vertical="center"/>
    </xf>
    <xf numFmtId="0" fontId="26" fillId="8" borderId="154" xfId="13" applyFont="1" applyFill="1" applyBorder="1" applyAlignment="1">
      <alignment horizontal="center" vertical="center" wrapText="1"/>
    </xf>
    <xf numFmtId="38" fontId="10" fillId="2" borderId="1" xfId="1" applyFont="1" applyFill="1" applyBorder="1" applyAlignment="1" applyProtection="1">
      <alignment horizontal="center" vertical="center"/>
    </xf>
    <xf numFmtId="38" fontId="10" fillId="2" borderId="1" xfId="1" applyFont="1" applyFill="1" applyBorder="1" applyAlignment="1" applyProtection="1">
      <alignment horizontal="center" vertical="center" shrinkToFit="1"/>
    </xf>
    <xf numFmtId="38" fontId="10" fillId="8" borderId="1" xfId="1" applyFont="1" applyFill="1" applyBorder="1" applyAlignment="1" applyProtection="1">
      <alignment horizontal="center" vertical="center" wrapText="1"/>
    </xf>
    <xf numFmtId="40" fontId="26" fillId="8" borderId="55" xfId="1" applyNumberFormat="1" applyFont="1" applyFill="1" applyBorder="1" applyAlignment="1">
      <alignment vertical="center"/>
    </xf>
    <xf numFmtId="38" fontId="26" fillId="4" borderId="2" xfId="1" applyFont="1" applyFill="1" applyBorder="1" applyAlignment="1">
      <alignment vertical="center"/>
    </xf>
    <xf numFmtId="38" fontId="26" fillId="4" borderId="3" xfId="1" applyFont="1" applyFill="1" applyBorder="1" applyAlignment="1">
      <alignment vertical="center"/>
    </xf>
    <xf numFmtId="38" fontId="26" fillId="4" borderId="4" xfId="1" applyFont="1" applyFill="1" applyBorder="1" applyAlignment="1">
      <alignment vertical="center"/>
    </xf>
    <xf numFmtId="38" fontId="26" fillId="4" borderId="51" xfId="1" applyFont="1" applyFill="1" applyBorder="1" applyAlignment="1">
      <alignment vertical="center"/>
    </xf>
    <xf numFmtId="38" fontId="26" fillId="4" borderId="47" xfId="1" applyFont="1" applyFill="1" applyBorder="1" applyAlignment="1">
      <alignment vertical="center"/>
    </xf>
    <xf numFmtId="38" fontId="26" fillId="4" borderId="154" xfId="1" applyFont="1" applyFill="1" applyBorder="1" applyAlignment="1">
      <alignment vertical="center"/>
    </xf>
    <xf numFmtId="38" fontId="26" fillId="4" borderId="1" xfId="1" applyFont="1" applyFill="1" applyBorder="1" applyAlignment="1">
      <alignment horizontal="center" vertical="center" wrapText="1"/>
    </xf>
    <xf numFmtId="38" fontId="26" fillId="4" borderId="216" xfId="1" applyFont="1" applyFill="1" applyBorder="1" applyAlignment="1">
      <alignment horizontal="left" vertical="center"/>
    </xf>
    <xf numFmtId="38" fontId="26" fillId="4" borderId="144" xfId="1" applyFont="1" applyFill="1" applyBorder="1" applyAlignment="1">
      <alignment horizontal="left" vertical="center"/>
    </xf>
    <xf numFmtId="38" fontId="26" fillId="4" borderId="326" xfId="1" applyFont="1" applyFill="1" applyBorder="1" applyAlignment="1">
      <alignment horizontal="center" vertical="center" wrapText="1"/>
    </xf>
    <xf numFmtId="38" fontId="26" fillId="4" borderId="184" xfId="1" applyFont="1" applyFill="1" applyBorder="1" applyAlignment="1">
      <alignment horizontal="center" vertical="center" wrapText="1"/>
    </xf>
    <xf numFmtId="38" fontId="26" fillId="4" borderId="323" xfId="1" applyFont="1" applyFill="1" applyBorder="1" applyAlignment="1">
      <alignment horizontal="center" vertical="center" wrapText="1"/>
    </xf>
    <xf numFmtId="38" fontId="26" fillId="8" borderId="215" xfId="1" applyFont="1" applyFill="1" applyBorder="1" applyAlignment="1">
      <alignment horizontal="center" vertical="center" wrapText="1"/>
    </xf>
    <xf numFmtId="38" fontId="26" fillId="4" borderId="211" xfId="1" applyFont="1" applyFill="1" applyBorder="1" applyAlignment="1">
      <alignment horizontal="left" vertical="center"/>
    </xf>
    <xf numFmtId="38" fontId="26" fillId="4" borderId="223" xfId="1" applyFont="1" applyFill="1" applyBorder="1" applyAlignment="1">
      <alignment horizontal="left" vertical="center"/>
    </xf>
    <xf numFmtId="38" fontId="26" fillId="8" borderId="2" xfId="1" applyFont="1" applyFill="1" applyBorder="1" applyAlignment="1">
      <alignment horizontal="center" vertical="center" wrapText="1"/>
    </xf>
    <xf numFmtId="38" fontId="26" fillId="8" borderId="3" xfId="1" applyFont="1" applyFill="1" applyBorder="1" applyAlignment="1">
      <alignment horizontal="center" vertical="center" wrapText="1"/>
    </xf>
    <xf numFmtId="38" fontId="26" fillId="8" borderId="4" xfId="1" applyFont="1" applyFill="1" applyBorder="1" applyAlignment="1">
      <alignment horizontal="center" vertical="center" wrapText="1"/>
    </xf>
    <xf numFmtId="38" fontId="26" fillId="5" borderId="2" xfId="1" applyFont="1" applyFill="1" applyBorder="1" applyAlignment="1">
      <alignment horizontal="center" vertical="center" wrapText="1"/>
    </xf>
    <xf numFmtId="38" fontId="26" fillId="5" borderId="3" xfId="1" applyFont="1" applyFill="1" applyBorder="1" applyAlignment="1">
      <alignment horizontal="center" vertical="center" wrapText="1"/>
    </xf>
    <xf numFmtId="38" fontId="26" fillId="5" borderId="4" xfId="1" applyFont="1" applyFill="1" applyBorder="1" applyAlignment="1">
      <alignment horizontal="center" vertical="center" wrapText="1"/>
    </xf>
    <xf numFmtId="38" fontId="26" fillId="5" borderId="1" xfId="1" applyFont="1" applyFill="1" applyBorder="1" applyAlignment="1">
      <alignment horizontal="center" vertical="center" wrapText="1"/>
    </xf>
    <xf numFmtId="38" fontId="26" fillId="5" borderId="1" xfId="1" applyFont="1" applyFill="1" applyBorder="1" applyAlignment="1">
      <alignment horizontal="center" vertical="center"/>
    </xf>
    <xf numFmtId="38" fontId="10" fillId="0" borderId="28" xfId="2" applyFont="1" applyFill="1" applyBorder="1" applyAlignment="1">
      <alignment horizontal="center" vertical="center"/>
    </xf>
    <xf numFmtId="38" fontId="10" fillId="0" borderId="53" xfId="2" applyFont="1" applyFill="1" applyBorder="1" applyAlignment="1">
      <alignment horizontal="center" vertical="center"/>
    </xf>
    <xf numFmtId="38" fontId="10" fillId="0" borderId="55" xfId="2" applyFont="1" applyFill="1" applyBorder="1" applyAlignment="1">
      <alignment horizontal="center" vertical="center"/>
    </xf>
    <xf numFmtId="38" fontId="10" fillId="0" borderId="28" xfId="2" applyFont="1" applyFill="1" applyBorder="1" applyAlignment="1">
      <alignment horizontal="center" vertical="center" shrinkToFit="1"/>
    </xf>
    <xf numFmtId="38" fontId="10" fillId="0" borderId="53" xfId="2" applyFont="1" applyFill="1" applyBorder="1" applyAlignment="1">
      <alignment horizontal="center" vertical="center" shrinkToFit="1"/>
    </xf>
    <xf numFmtId="38" fontId="10" fillId="0" borderId="55" xfId="2" applyFont="1" applyFill="1" applyBorder="1" applyAlignment="1">
      <alignment horizontal="center" vertical="center" shrinkToFit="1"/>
    </xf>
    <xf numFmtId="38" fontId="10" fillId="4" borderId="28" xfId="2" applyFont="1" applyFill="1" applyBorder="1" applyAlignment="1" applyProtection="1">
      <alignment horizontal="center" vertical="center" wrapText="1"/>
    </xf>
    <xf numFmtId="38" fontId="10" fillId="4" borderId="55" xfId="2" applyFont="1" applyFill="1" applyBorder="1" applyAlignment="1" applyProtection="1">
      <alignment horizontal="center" vertical="center" wrapText="1"/>
    </xf>
    <xf numFmtId="38" fontId="6" fillId="4" borderId="28" xfId="2" applyFont="1" applyFill="1" applyBorder="1" applyAlignment="1" applyProtection="1">
      <alignment horizontal="center" vertical="center" wrapText="1"/>
    </xf>
    <xf numFmtId="38" fontId="6" fillId="4" borderId="55" xfId="2" applyFont="1" applyFill="1" applyBorder="1" applyAlignment="1" applyProtection="1">
      <alignment horizontal="center" vertical="center" wrapText="1"/>
    </xf>
    <xf numFmtId="38" fontId="10" fillId="4" borderId="53" xfId="2" applyFont="1" applyFill="1" applyBorder="1" applyAlignment="1" applyProtection="1">
      <alignment horizontal="center" vertical="center" wrapText="1"/>
    </xf>
    <xf numFmtId="38" fontId="10" fillId="4" borderId="56" xfId="2" applyFont="1" applyFill="1" applyBorder="1" applyAlignment="1" applyProtection="1">
      <alignment horizontal="center" vertical="center" wrapText="1"/>
    </xf>
    <xf numFmtId="38" fontId="10" fillId="4" borderId="45" xfId="2" applyFont="1" applyFill="1" applyBorder="1" applyAlignment="1" applyProtection="1">
      <alignment horizontal="center" vertical="center" wrapText="1"/>
    </xf>
    <xf numFmtId="38" fontId="10" fillId="4" borderId="59" xfId="2" applyFont="1" applyFill="1" applyBorder="1" applyAlignment="1" applyProtection="1">
      <alignment horizontal="center" vertical="center" wrapText="1"/>
    </xf>
    <xf numFmtId="38" fontId="10" fillId="4" borderId="51" xfId="2" applyFont="1" applyFill="1" applyBorder="1" applyAlignment="1" applyProtection="1">
      <alignment horizontal="center" vertical="center" wrapText="1"/>
    </xf>
    <xf numFmtId="38" fontId="10" fillId="4" borderId="47" xfId="2" applyFont="1" applyFill="1" applyBorder="1" applyAlignment="1" applyProtection="1">
      <alignment horizontal="center" vertical="center" wrapText="1"/>
    </xf>
    <xf numFmtId="38" fontId="10" fillId="4" borderId="154" xfId="2" applyFont="1" applyFill="1" applyBorder="1" applyAlignment="1" applyProtection="1">
      <alignment horizontal="center" vertical="center" wrapText="1"/>
    </xf>
    <xf numFmtId="176" fontId="10" fillId="4" borderId="56" xfId="2" applyNumberFormat="1" applyFont="1" applyFill="1" applyBorder="1" applyAlignment="1" applyProtection="1">
      <alignment horizontal="center" vertical="center" wrapText="1"/>
    </xf>
    <xf numFmtId="176" fontId="10" fillId="4" borderId="45" xfId="2" applyNumberFormat="1" applyFont="1" applyFill="1" applyBorder="1" applyAlignment="1" applyProtection="1">
      <alignment horizontal="center" vertical="center" wrapText="1"/>
    </xf>
    <xf numFmtId="176" fontId="10" fillId="4" borderId="59" xfId="2" applyNumberFormat="1" applyFont="1" applyFill="1" applyBorder="1" applyAlignment="1" applyProtection="1">
      <alignment horizontal="center" vertical="center" wrapText="1"/>
    </xf>
    <xf numFmtId="176" fontId="10" fillId="4" borderId="51" xfId="2" applyNumberFormat="1" applyFont="1" applyFill="1" applyBorder="1" applyAlignment="1" applyProtection="1">
      <alignment horizontal="center" vertical="center" wrapText="1"/>
    </xf>
    <xf numFmtId="176" fontId="10" fillId="4" borderId="47" xfId="2" applyNumberFormat="1" applyFont="1" applyFill="1" applyBorder="1" applyAlignment="1" applyProtection="1">
      <alignment horizontal="center" vertical="center" wrapText="1"/>
    </xf>
    <xf numFmtId="176" fontId="10" fillId="4" borderId="154" xfId="2" applyNumberFormat="1" applyFont="1" applyFill="1" applyBorder="1" applyAlignment="1" applyProtection="1">
      <alignment horizontal="center" vertical="center" wrapText="1"/>
    </xf>
    <xf numFmtId="176" fontId="10" fillId="4" borderId="28" xfId="2" applyNumberFormat="1" applyFont="1" applyFill="1" applyBorder="1" applyAlignment="1" applyProtection="1">
      <alignment horizontal="center" vertical="center" wrapText="1"/>
    </xf>
    <xf numFmtId="176" fontId="10" fillId="4" borderId="53" xfId="2" applyNumberFormat="1" applyFont="1" applyFill="1" applyBorder="1" applyAlignment="1" applyProtection="1">
      <alignment horizontal="center" vertical="center" wrapText="1"/>
    </xf>
    <xf numFmtId="176" fontId="10" fillId="4" borderId="55" xfId="2" applyNumberFormat="1" applyFont="1" applyFill="1" applyBorder="1" applyAlignment="1" applyProtection="1">
      <alignment horizontal="center" vertical="center" wrapText="1"/>
    </xf>
    <xf numFmtId="38" fontId="10" fillId="4" borderId="2" xfId="2" applyFont="1" applyFill="1" applyBorder="1" applyAlignment="1" applyProtection="1">
      <alignment horizontal="center" vertical="center" wrapText="1"/>
    </xf>
    <xf numFmtId="38" fontId="10" fillId="4" borderId="3" xfId="2" applyFont="1" applyFill="1" applyBorder="1" applyAlignment="1" applyProtection="1">
      <alignment horizontal="center" vertical="center" wrapText="1"/>
    </xf>
    <xf numFmtId="38" fontId="10" fillId="4" borderId="4" xfId="2" applyFont="1" applyFill="1" applyBorder="1" applyAlignment="1" applyProtection="1">
      <alignment horizontal="center" vertical="center" wrapText="1"/>
    </xf>
    <xf numFmtId="38" fontId="10" fillId="4" borderId="208" xfId="2" applyFont="1" applyFill="1" applyBorder="1" applyAlignment="1" applyProtection="1">
      <alignment horizontal="center" vertical="center" wrapText="1"/>
    </xf>
    <xf numFmtId="38" fontId="10" fillId="4" borderId="50" xfId="2" applyFont="1" applyFill="1" applyBorder="1" applyAlignment="1" applyProtection="1">
      <alignment horizontal="center" vertical="center" wrapText="1"/>
    </xf>
    <xf numFmtId="0" fontId="25" fillId="0" borderId="0" xfId="5" applyFont="1" applyAlignment="1" applyProtection="1">
      <alignment horizontal="left" vertical="center" wrapText="1"/>
    </xf>
    <xf numFmtId="0" fontId="35" fillId="4" borderId="11" xfId="5" applyFont="1" applyFill="1" applyBorder="1" applyAlignment="1" applyProtection="1">
      <alignment horizontal="center" vertical="center"/>
    </xf>
    <xf numFmtId="0" fontId="35" fillId="4" borderId="31" xfId="5" applyFont="1" applyFill="1" applyBorder="1" applyAlignment="1" applyProtection="1">
      <alignment horizontal="center" vertical="center"/>
    </xf>
    <xf numFmtId="0" fontId="35" fillId="4" borderId="6" xfId="5" applyFont="1" applyFill="1" applyBorder="1" applyAlignment="1" applyProtection="1">
      <alignment horizontal="center" vertical="center"/>
    </xf>
    <xf numFmtId="0" fontId="35" fillId="4" borderId="383" xfId="5" applyFont="1" applyFill="1" applyBorder="1" applyAlignment="1" applyProtection="1">
      <alignment horizontal="center" vertical="center"/>
    </xf>
    <xf numFmtId="0" fontId="35" fillId="4" borderId="376" xfId="5" applyFont="1" applyFill="1" applyBorder="1" applyAlignment="1" applyProtection="1">
      <alignment horizontal="center" vertical="center" wrapText="1"/>
    </xf>
    <xf numFmtId="0" fontId="35" fillId="4" borderId="367" xfId="5" applyFont="1" applyFill="1" applyBorder="1" applyAlignment="1" applyProtection="1">
      <alignment horizontal="center" vertical="center"/>
    </xf>
    <xf numFmtId="0" fontId="35" fillId="4" borderId="362" xfId="5" applyFont="1" applyFill="1" applyBorder="1" applyAlignment="1" applyProtection="1">
      <alignment horizontal="center" vertical="center"/>
    </xf>
    <xf numFmtId="0" fontId="35" fillId="4" borderId="367" xfId="5" applyFont="1" applyFill="1" applyBorder="1" applyAlignment="1" applyProtection="1">
      <alignment horizontal="center" vertical="center" wrapText="1"/>
    </xf>
    <xf numFmtId="0" fontId="57" fillId="4" borderId="376" xfId="5" applyFont="1" applyFill="1" applyBorder="1" applyAlignment="1" applyProtection="1">
      <alignment horizontal="center" vertical="center" wrapText="1"/>
    </xf>
    <xf numFmtId="0" fontId="57" fillId="4" borderId="367" xfId="5" applyFont="1" applyFill="1" applyBorder="1" applyAlignment="1" applyProtection="1">
      <alignment horizontal="center" vertical="center" wrapText="1"/>
    </xf>
    <xf numFmtId="0" fontId="57" fillId="4" borderId="362" xfId="5" applyFont="1" applyFill="1" applyBorder="1" applyAlignment="1" applyProtection="1">
      <alignment horizontal="center" vertical="center" wrapText="1"/>
    </xf>
    <xf numFmtId="0" fontId="35" fillId="4" borderId="5" xfId="5" applyFont="1" applyFill="1" applyBorder="1" applyAlignment="1" applyProtection="1">
      <alignment horizontal="center" vertical="center" wrapText="1"/>
    </xf>
    <xf numFmtId="0" fontId="35" fillId="4" borderId="7" xfId="5" applyFont="1" applyFill="1" applyBorder="1" applyAlignment="1" applyProtection="1">
      <alignment horizontal="center" vertical="center"/>
    </xf>
    <xf numFmtId="0" fontId="35" fillId="4" borderId="49" xfId="5" applyFont="1" applyFill="1" applyBorder="1" applyAlignment="1" applyProtection="1">
      <alignment horizontal="center" vertical="center"/>
    </xf>
    <xf numFmtId="0" fontId="35" fillId="4" borderId="366" xfId="5" applyFont="1" applyFill="1" applyBorder="1" applyAlignment="1" applyProtection="1">
      <alignment horizontal="center" vertical="center"/>
    </xf>
    <xf numFmtId="0" fontId="35" fillId="4" borderId="34" xfId="5" applyFont="1" applyFill="1" applyBorder="1" applyAlignment="1" applyProtection="1">
      <alignment horizontal="center" vertical="center"/>
    </xf>
    <xf numFmtId="0" fontId="35" fillId="4" borderId="35" xfId="5" applyFont="1" applyFill="1" applyBorder="1" applyAlignment="1" applyProtection="1">
      <alignment horizontal="center" vertical="center"/>
    </xf>
    <xf numFmtId="0" fontId="5" fillId="0" borderId="6" xfId="5" applyFont="1" applyBorder="1" applyAlignment="1" applyProtection="1">
      <alignment horizontal="right" vertical="center"/>
    </xf>
    <xf numFmtId="0" fontId="5" fillId="0" borderId="0" xfId="5" applyFont="1" applyBorder="1" applyAlignment="1" applyProtection="1">
      <alignment horizontal="right" vertical="center"/>
    </xf>
    <xf numFmtId="0" fontId="5" fillId="0" borderId="6" xfId="5" applyFont="1" applyBorder="1" applyAlignment="1" applyProtection="1">
      <alignment horizontal="left" vertical="center"/>
    </xf>
    <xf numFmtId="0" fontId="5" fillId="0" borderId="0" xfId="5" applyFont="1" applyAlignment="1" applyProtection="1">
      <alignment horizontal="left" vertical="center"/>
    </xf>
    <xf numFmtId="0" fontId="5" fillId="0" borderId="0" xfId="5" applyFont="1" applyBorder="1" applyAlignment="1" applyProtection="1">
      <alignment horizontal="left" vertical="center"/>
    </xf>
    <xf numFmtId="0" fontId="70" fillId="0" borderId="0" xfId="0" applyFont="1" applyAlignment="1">
      <alignment horizontal="center" vertical="center"/>
    </xf>
    <xf numFmtId="0" fontId="7" fillId="9" borderId="19" xfId="0" applyFont="1" applyFill="1" applyBorder="1" applyAlignment="1">
      <alignment horizontal="center" vertical="center"/>
    </xf>
    <xf numFmtId="0" fontId="7" fillId="5" borderId="1" xfId="0" applyFont="1" applyFill="1" applyBorder="1" applyAlignment="1">
      <alignment horizontal="left" vertical="center"/>
    </xf>
    <xf numFmtId="0" fontId="7" fillId="5" borderId="27" xfId="0" applyFont="1" applyFill="1" applyBorder="1" applyAlignment="1">
      <alignment horizontal="center" vertical="center"/>
    </xf>
    <xf numFmtId="0" fontId="7" fillId="5" borderId="41" xfId="0" applyFont="1" applyFill="1" applyBorder="1" applyAlignment="1">
      <alignment horizontal="center" vertical="center"/>
    </xf>
    <xf numFmtId="0" fontId="7" fillId="5" borderId="28" xfId="0" applyFont="1" applyFill="1" applyBorder="1" applyAlignment="1">
      <alignment horizontal="left" vertical="center"/>
    </xf>
    <xf numFmtId="0" fontId="7" fillId="5" borderId="374" xfId="0" applyFont="1" applyFill="1" applyBorder="1" applyAlignment="1">
      <alignment horizontal="left" vertical="center"/>
    </xf>
    <xf numFmtId="0" fontId="7" fillId="5" borderId="54" xfId="0" applyFont="1" applyFill="1" applyBorder="1" applyAlignment="1">
      <alignment horizontal="center" vertical="center"/>
    </xf>
    <xf numFmtId="0" fontId="7" fillId="5" borderId="55" xfId="0" applyFont="1" applyFill="1" applyBorder="1" applyAlignment="1">
      <alignment horizontal="left" vertical="center"/>
    </xf>
    <xf numFmtId="0" fontId="7" fillId="9" borderId="27" xfId="0" applyFont="1" applyFill="1" applyBorder="1" applyAlignment="1">
      <alignment horizontal="center" vertical="center"/>
    </xf>
    <xf numFmtId="0" fontId="7" fillId="9" borderId="54" xfId="0" applyFont="1" applyFill="1" applyBorder="1" applyAlignment="1">
      <alignment horizontal="center" vertical="center"/>
    </xf>
    <xf numFmtId="0" fontId="7" fillId="9" borderId="28" xfId="0" applyFont="1" applyFill="1" applyBorder="1" applyAlignment="1">
      <alignment horizontal="left" vertical="center" wrapText="1"/>
    </xf>
    <xf numFmtId="0" fontId="7" fillId="9" borderId="55" xfId="0" applyFont="1" applyFill="1" applyBorder="1" applyAlignment="1">
      <alignment horizontal="left" vertical="center" wrapText="1"/>
    </xf>
    <xf numFmtId="0" fontId="7" fillId="5" borderId="4" xfId="0" applyFont="1" applyFill="1" applyBorder="1" applyAlignment="1">
      <alignment horizontal="left" vertical="center" wrapText="1"/>
    </xf>
    <xf numFmtId="0" fontId="7" fillId="9" borderId="53" xfId="0" applyFont="1" applyFill="1" applyBorder="1" applyAlignment="1">
      <alignment horizontal="left" vertical="center" wrapText="1"/>
    </xf>
    <xf numFmtId="0" fontId="33" fillId="0" borderId="0" xfId="0" applyFont="1" applyAlignment="1">
      <alignment horizontal="left" vertical="center"/>
    </xf>
    <xf numFmtId="0" fontId="7" fillId="5" borderId="28" xfId="0" applyFont="1" applyFill="1" applyBorder="1" applyAlignment="1">
      <alignment horizontal="center" vertical="center" shrinkToFit="1"/>
    </xf>
    <xf numFmtId="0" fontId="7" fillId="5" borderId="55" xfId="0" applyFont="1" applyFill="1" applyBorder="1" applyAlignment="1">
      <alignment horizontal="center" vertical="center" shrinkToFit="1"/>
    </xf>
    <xf numFmtId="0" fontId="10" fillId="4" borderId="1" xfId="23" applyFont="1" applyFill="1" applyBorder="1" applyAlignment="1">
      <alignment horizontal="center" vertical="center"/>
    </xf>
    <xf numFmtId="0" fontId="10" fillId="0" borderId="1" xfId="23" applyFont="1" applyBorder="1" applyAlignment="1">
      <alignment horizontal="left" vertical="center" indent="1"/>
    </xf>
    <xf numFmtId="0" fontId="7" fillId="0" borderId="0" xfId="23" applyFont="1" applyAlignment="1">
      <alignment vertical="center" wrapText="1"/>
    </xf>
    <xf numFmtId="0" fontId="7" fillId="0" borderId="0" xfId="23" applyFont="1" applyAlignment="1">
      <alignment vertical="center"/>
    </xf>
    <xf numFmtId="0" fontId="10" fillId="0" borderId="0" xfId="23" applyFont="1" applyAlignment="1">
      <alignment vertical="center" wrapText="1"/>
    </xf>
    <xf numFmtId="0" fontId="7" fillId="4" borderId="2" xfId="23" applyFont="1" applyFill="1" applyBorder="1" applyAlignment="1">
      <alignment horizontal="center" vertical="center" wrapText="1"/>
    </xf>
    <xf numFmtId="0" fontId="7" fillId="4" borderId="4" xfId="23" applyFont="1" applyFill="1" applyBorder="1" applyAlignment="1">
      <alignment horizontal="center" vertical="center"/>
    </xf>
    <xf numFmtId="0" fontId="10" fillId="0" borderId="0" xfId="0" applyFont="1" applyAlignment="1">
      <alignment vertical="center" wrapText="1"/>
    </xf>
    <xf numFmtId="0" fontId="7" fillId="2" borderId="0" xfId="0" applyFont="1" applyFill="1">
      <alignment vertical="center"/>
    </xf>
    <xf numFmtId="177" fontId="16" fillId="0" borderId="0" xfId="46" applyNumberFormat="1" applyFont="1" applyAlignment="1">
      <alignment vertical="center"/>
    </xf>
    <xf numFmtId="177" fontId="17" fillId="0" borderId="0" xfId="46" applyNumberFormat="1" applyFont="1" applyAlignment="1">
      <alignment vertical="center"/>
    </xf>
    <xf numFmtId="177" fontId="17" fillId="0" borderId="0" xfId="46" applyNumberFormat="1" applyFont="1" applyAlignment="1">
      <alignment horizontal="center" vertical="center"/>
    </xf>
    <xf numFmtId="177" fontId="18" fillId="0" borderId="0" xfId="46" applyNumberFormat="1" applyFont="1" applyAlignment="1">
      <alignment vertical="center"/>
    </xf>
    <xf numFmtId="177" fontId="19" fillId="0" borderId="0" xfId="46" applyNumberFormat="1" applyFont="1" applyAlignment="1">
      <alignment vertical="center"/>
    </xf>
    <xf numFmtId="177" fontId="17" fillId="4" borderId="5" xfId="46" applyNumberFormat="1" applyFont="1" applyFill="1" applyBorder="1" applyAlignment="1">
      <alignment horizontal="center" vertical="center"/>
    </xf>
    <xf numFmtId="177" fontId="17" fillId="4" borderId="6" xfId="46" applyNumberFormat="1" applyFont="1" applyFill="1" applyBorder="1" applyAlignment="1">
      <alignment horizontal="center" vertical="center"/>
    </xf>
    <xf numFmtId="177" fontId="17" fillId="4" borderId="7" xfId="46" applyNumberFormat="1" applyFont="1" applyFill="1" applyBorder="1" applyAlignment="1">
      <alignment horizontal="center" vertical="center"/>
    </xf>
    <xf numFmtId="177" fontId="17" fillId="5" borderId="8" xfId="46" applyNumberFormat="1" applyFont="1" applyFill="1" applyBorder="1" applyAlignment="1">
      <alignment horizontal="center" vertical="center"/>
    </xf>
    <xf numFmtId="177" fontId="17" fillId="5" borderId="9" xfId="46" applyNumberFormat="1" applyFont="1" applyFill="1" applyBorder="1" applyAlignment="1">
      <alignment horizontal="center" vertical="center"/>
    </xf>
    <xf numFmtId="177" fontId="17" fillId="5" borderId="10" xfId="46" applyNumberFormat="1" applyFont="1" applyFill="1" applyBorder="1" applyAlignment="1">
      <alignment horizontal="center" vertical="center"/>
    </xf>
    <xf numFmtId="177" fontId="17" fillId="5" borderId="11" xfId="46" applyNumberFormat="1" applyFont="1" applyFill="1" applyBorder="1" applyAlignment="1">
      <alignment horizontal="center" vertical="center"/>
    </xf>
    <xf numFmtId="177" fontId="17" fillId="5" borderId="12" xfId="46" applyNumberFormat="1" applyFont="1" applyFill="1" applyBorder="1" applyAlignment="1">
      <alignment horizontal="center" vertical="center"/>
    </xf>
    <xf numFmtId="177" fontId="17" fillId="4" borderId="13" xfId="46" applyNumberFormat="1" applyFont="1" applyFill="1" applyBorder="1" applyAlignment="1">
      <alignment horizontal="center" vertical="center" textRotation="255"/>
    </xf>
    <xf numFmtId="177" fontId="17" fillId="4" borderId="14" xfId="46" applyNumberFormat="1" applyFont="1" applyFill="1" applyBorder="1" applyAlignment="1">
      <alignment horizontal="center" vertical="center" textRotation="255"/>
    </xf>
    <xf numFmtId="177" fontId="17" fillId="4" borderId="15" xfId="46" applyNumberFormat="1" applyFont="1" applyFill="1" applyBorder="1" applyAlignment="1">
      <alignment vertical="center"/>
    </xf>
    <xf numFmtId="177" fontId="17" fillId="4" borderId="16" xfId="46" applyNumberFormat="1" applyFont="1" applyFill="1" applyBorder="1" applyAlignment="1">
      <alignment horizontal="center" vertical="center"/>
    </xf>
    <xf numFmtId="177" fontId="20" fillId="0" borderId="13" xfId="46" applyNumberFormat="1" applyFont="1" applyBorder="1" applyAlignment="1">
      <alignment vertical="center"/>
    </xf>
    <xf numFmtId="177" fontId="20" fillId="0" borderId="14" xfId="46" applyNumberFormat="1" applyFont="1" applyBorder="1" applyAlignment="1">
      <alignment vertical="center"/>
    </xf>
    <xf numFmtId="177" fontId="20" fillId="0" borderId="17" xfId="46" applyNumberFormat="1" applyFont="1" applyBorder="1" applyAlignment="1">
      <alignment horizontal="center" vertical="center"/>
    </xf>
    <xf numFmtId="177" fontId="20" fillId="0" borderId="18" xfId="46" applyNumberFormat="1" applyFont="1" applyBorder="1" applyAlignment="1">
      <alignment horizontal="center" vertical="center"/>
    </xf>
    <xf numFmtId="177" fontId="20" fillId="0" borderId="16" xfId="46" applyNumberFormat="1" applyFont="1" applyBorder="1" applyAlignment="1">
      <alignment horizontal="center" vertical="center"/>
    </xf>
    <xf numFmtId="177" fontId="17" fillId="4" borderId="19" xfId="46" applyNumberFormat="1" applyFont="1" applyFill="1" applyBorder="1" applyAlignment="1">
      <alignment horizontal="center" vertical="center" textRotation="255"/>
    </xf>
    <xf numFmtId="177" fontId="17" fillId="4" borderId="1" xfId="46" applyNumberFormat="1" applyFont="1" applyFill="1" applyBorder="1" applyAlignment="1">
      <alignment horizontal="center" vertical="center" textRotation="255"/>
    </xf>
    <xf numFmtId="177" fontId="17" fillId="4" borderId="2" xfId="46" applyNumberFormat="1" applyFont="1" applyFill="1" applyBorder="1" applyAlignment="1">
      <alignment vertical="center"/>
    </xf>
    <xf numFmtId="177" fontId="17" fillId="4" borderId="20" xfId="46" applyNumberFormat="1" applyFont="1" applyFill="1" applyBorder="1" applyAlignment="1">
      <alignment horizontal="center" vertical="center"/>
    </xf>
    <xf numFmtId="177" fontId="20" fillId="0" borderId="19" xfId="46" applyNumberFormat="1" applyFont="1" applyBorder="1" applyAlignment="1">
      <alignment vertical="center"/>
    </xf>
    <xf numFmtId="177" fontId="20" fillId="0" borderId="1" xfId="46" applyNumberFormat="1" applyFont="1" applyBorder="1" applyAlignment="1">
      <alignment vertical="center"/>
    </xf>
    <xf numFmtId="177" fontId="20" fillId="0" borderId="21" xfId="46" applyNumberFormat="1" applyFont="1" applyBorder="1" applyAlignment="1">
      <alignment horizontal="center" vertical="center"/>
    </xf>
    <xf numFmtId="177" fontId="20" fillId="0" borderId="22" xfId="46" applyNumberFormat="1" applyFont="1" applyBorder="1" applyAlignment="1">
      <alignment horizontal="center" vertical="center"/>
    </xf>
    <xf numFmtId="177" fontId="20" fillId="0" borderId="20" xfId="46" applyNumberFormat="1" applyFont="1" applyBorder="1" applyAlignment="1">
      <alignment horizontal="center" vertical="center"/>
    </xf>
    <xf numFmtId="177" fontId="17" fillId="4" borderId="23" xfId="46" applyNumberFormat="1" applyFont="1" applyFill="1" applyBorder="1" applyAlignment="1">
      <alignment horizontal="center" vertical="center" textRotation="255"/>
    </xf>
    <xf numFmtId="177" fontId="17" fillId="4" borderId="24" xfId="46" applyNumberFormat="1" applyFont="1" applyFill="1" applyBorder="1" applyAlignment="1">
      <alignment horizontal="center" vertical="center" textRotation="255"/>
    </xf>
    <xf numFmtId="177" fontId="17" fillId="4" borderId="25" xfId="46" applyNumberFormat="1" applyFont="1" applyFill="1" applyBorder="1" applyAlignment="1">
      <alignment vertical="center"/>
    </xf>
    <xf numFmtId="177" fontId="17" fillId="4" borderId="26" xfId="46" applyNumberFormat="1" applyFont="1" applyFill="1" applyBorder="1" applyAlignment="1">
      <alignment horizontal="center" vertical="center"/>
    </xf>
    <xf numFmtId="177" fontId="20" fillId="0" borderId="27" xfId="46" applyNumberFormat="1" applyFont="1" applyBorder="1" applyAlignment="1">
      <alignment vertical="center"/>
    </xf>
    <xf numFmtId="177" fontId="20" fillId="0" borderId="28" xfId="46" applyNumberFormat="1" applyFont="1" applyBorder="1" applyAlignment="1">
      <alignment vertical="center"/>
    </xf>
    <xf numFmtId="177" fontId="20" fillId="0" borderId="29" xfId="46" applyNumberFormat="1" applyFont="1" applyBorder="1" applyAlignment="1">
      <alignment vertical="center"/>
    </xf>
    <xf numFmtId="177" fontId="20" fillId="0" borderId="30" xfId="46" applyNumberFormat="1" applyFont="1" applyBorder="1" applyAlignment="1">
      <alignment vertical="center"/>
    </xf>
    <xf numFmtId="177" fontId="20" fillId="0" borderId="26" xfId="46" applyNumberFormat="1" applyFont="1" applyBorder="1" applyAlignment="1">
      <alignment vertical="center"/>
    </xf>
    <xf numFmtId="177" fontId="17" fillId="4" borderId="11" xfId="46" applyNumberFormat="1" applyFont="1" applyFill="1" applyBorder="1" applyAlignment="1">
      <alignment horizontal="center" vertical="center"/>
    </xf>
    <xf numFmtId="177" fontId="17" fillId="4" borderId="31" xfId="46" applyNumberFormat="1" applyFont="1" applyFill="1" applyBorder="1" applyAlignment="1">
      <alignment horizontal="center" vertical="center"/>
    </xf>
    <xf numFmtId="177" fontId="17" fillId="4" borderId="32" xfId="46" applyNumberFormat="1" applyFont="1" applyFill="1" applyBorder="1" applyAlignment="1">
      <alignment horizontal="center" vertical="center"/>
    </xf>
    <xf numFmtId="177" fontId="20" fillId="0" borderId="8" xfId="46" applyNumberFormat="1" applyFont="1" applyBorder="1" applyAlignment="1">
      <alignment horizontal="center" vertical="center"/>
    </xf>
    <xf numFmtId="177" fontId="20" fillId="0" borderId="9" xfId="46" applyNumberFormat="1" applyFont="1" applyBorder="1" applyAlignment="1">
      <alignment vertical="center"/>
    </xf>
    <xf numFmtId="177" fontId="20" fillId="0" borderId="10" xfId="46" applyNumberFormat="1" applyFont="1" applyBorder="1" applyAlignment="1">
      <alignment vertical="center"/>
    </xf>
    <xf numFmtId="177" fontId="20" fillId="0" borderId="11" xfId="46" applyNumberFormat="1" applyFont="1" applyBorder="1" applyAlignment="1">
      <alignment horizontal="right" vertical="center"/>
    </xf>
    <xf numFmtId="177" fontId="20" fillId="0" borderId="33" xfId="46" applyNumberFormat="1" applyFont="1" applyBorder="1" applyAlignment="1">
      <alignment horizontal="right" vertical="center"/>
    </xf>
    <xf numFmtId="177" fontId="17" fillId="4" borderId="34" xfId="46" applyNumberFormat="1" applyFont="1" applyFill="1" applyBorder="1" applyAlignment="1">
      <alignment horizontal="center" vertical="center"/>
    </xf>
    <xf numFmtId="177" fontId="17" fillId="4" borderId="32" xfId="46" applyNumberFormat="1" applyFont="1" applyFill="1" applyBorder="1" applyAlignment="1">
      <alignment horizontal="center" vertical="center"/>
    </xf>
    <xf numFmtId="177" fontId="20" fillId="0" borderId="34" xfId="46" applyNumberFormat="1" applyFont="1" applyBorder="1" applyAlignment="1">
      <alignment horizontal="right" vertical="center"/>
    </xf>
    <xf numFmtId="177" fontId="20" fillId="0" borderId="32" xfId="46" applyNumberFormat="1" applyFont="1" applyBorder="1" applyAlignment="1">
      <alignment horizontal="right" vertical="center"/>
    </xf>
    <xf numFmtId="177" fontId="20" fillId="0" borderId="35" xfId="46" applyNumberFormat="1" applyFont="1" applyBorder="1" applyAlignment="1">
      <alignment horizontal="right" vertical="center"/>
    </xf>
    <xf numFmtId="178" fontId="20" fillId="0" borderId="34" xfId="46" applyNumberFormat="1" applyFont="1" applyBorder="1" applyAlignment="1">
      <alignment horizontal="right" vertical="center"/>
    </xf>
    <xf numFmtId="178" fontId="20" fillId="0" borderId="35" xfId="46" applyNumberFormat="1" applyFont="1" applyBorder="1" applyAlignment="1">
      <alignment horizontal="right" vertical="center"/>
    </xf>
    <xf numFmtId="177" fontId="17" fillId="4" borderId="36" xfId="46" applyNumberFormat="1" applyFont="1" applyFill="1" applyBorder="1" applyAlignment="1">
      <alignment horizontal="center" vertical="center" wrapText="1"/>
    </xf>
    <xf numFmtId="177" fontId="17" fillId="4" borderId="37" xfId="46" applyNumberFormat="1" applyFont="1" applyFill="1" applyBorder="1" applyAlignment="1">
      <alignment vertical="center"/>
    </xf>
    <xf numFmtId="177" fontId="17" fillId="4" borderId="37" xfId="46" applyNumberFormat="1" applyFont="1" applyFill="1" applyBorder="1" applyAlignment="1">
      <alignment horizontal="center" vertical="center"/>
    </xf>
    <xf numFmtId="179" fontId="20" fillId="0" borderId="17" xfId="46" applyNumberFormat="1" applyFont="1" applyBorder="1" applyAlignment="1">
      <alignment vertical="center"/>
    </xf>
    <xf numFmtId="177" fontId="20" fillId="0" borderId="38" xfId="46" applyNumberFormat="1" applyFont="1" applyBorder="1" applyAlignment="1">
      <alignment horizontal="right" vertical="center"/>
    </xf>
    <xf numFmtId="177" fontId="20" fillId="0" borderId="39" xfId="46" applyNumberFormat="1" applyFont="1" applyBorder="1" applyAlignment="1">
      <alignment horizontal="right" vertical="center"/>
    </xf>
    <xf numFmtId="177" fontId="17" fillId="4" borderId="40" xfId="46" applyNumberFormat="1" applyFont="1" applyFill="1" applyBorder="1" applyAlignment="1">
      <alignment horizontal="center" vertical="center"/>
    </xf>
    <xf numFmtId="177" fontId="17" fillId="4" borderId="3" xfId="46" applyNumberFormat="1" applyFont="1" applyFill="1" applyBorder="1" applyAlignment="1">
      <alignment vertical="center"/>
    </xf>
    <xf numFmtId="177" fontId="17" fillId="4" borderId="3" xfId="46" applyNumberFormat="1" applyFont="1" applyFill="1" applyBorder="1" applyAlignment="1">
      <alignment horizontal="center" vertical="center"/>
    </xf>
    <xf numFmtId="179" fontId="20" fillId="0" borderId="21" xfId="46" applyNumberFormat="1" applyFont="1" applyBorder="1" applyAlignment="1">
      <alignment vertical="center"/>
    </xf>
    <xf numFmtId="177" fontId="20" fillId="0" borderId="22" xfId="46" applyNumberFormat="1" applyFont="1" applyBorder="1" applyAlignment="1">
      <alignment horizontal="right" vertical="center"/>
    </xf>
    <xf numFmtId="177" fontId="20" fillId="0" borderId="20" xfId="46" applyNumberFormat="1" applyFont="1" applyBorder="1" applyAlignment="1">
      <alignment horizontal="right" vertical="center"/>
    </xf>
    <xf numFmtId="178" fontId="20" fillId="0" borderId="19" xfId="46" applyNumberFormat="1" applyFont="1" applyBorder="1" applyAlignment="1">
      <alignment vertical="center"/>
    </xf>
    <xf numFmtId="178" fontId="20" fillId="0" borderId="1" xfId="46" applyNumberFormat="1" applyFont="1" applyBorder="1" applyAlignment="1">
      <alignment vertical="center"/>
    </xf>
    <xf numFmtId="180" fontId="20" fillId="0" borderId="21" xfId="46" applyNumberFormat="1" applyFont="1" applyBorder="1" applyAlignment="1">
      <alignment vertical="center"/>
    </xf>
    <xf numFmtId="178" fontId="20" fillId="0" borderId="22" xfId="46" applyNumberFormat="1" applyFont="1" applyBorder="1" applyAlignment="1">
      <alignment horizontal="right" vertical="center"/>
    </xf>
    <xf numFmtId="178" fontId="20" fillId="0" borderId="20" xfId="46" applyNumberFormat="1" applyFont="1" applyBorder="1" applyAlignment="1">
      <alignment horizontal="right" vertical="center"/>
    </xf>
    <xf numFmtId="177" fontId="20" fillId="0" borderId="19" xfId="46" applyNumberFormat="1" applyFont="1" applyBorder="1" applyAlignment="1">
      <alignment horizontal="center" vertical="center"/>
    </xf>
    <xf numFmtId="177" fontId="17" fillId="4" borderId="41" xfId="46" applyNumberFormat="1" applyFont="1" applyFill="1" applyBorder="1" applyAlignment="1">
      <alignment horizontal="center" vertical="center"/>
    </xf>
    <xf numFmtId="177" fontId="17" fillId="4" borderId="42" xfId="46" applyNumberFormat="1" applyFont="1" applyFill="1" applyBorder="1" applyAlignment="1">
      <alignment vertical="center"/>
    </xf>
    <xf numFmtId="177" fontId="20" fillId="0" borderId="23" xfId="46" applyNumberFormat="1" applyFont="1" applyBorder="1" applyAlignment="1">
      <alignment horizontal="center" vertical="center"/>
    </xf>
    <xf numFmtId="177" fontId="20" fillId="0" borderId="24" xfId="46" applyNumberFormat="1" applyFont="1" applyBorder="1" applyAlignment="1">
      <alignment vertical="center"/>
    </xf>
    <xf numFmtId="179" fontId="20" fillId="0" borderId="43" xfId="46" applyNumberFormat="1" applyFont="1" applyBorder="1" applyAlignment="1">
      <alignment vertical="center"/>
    </xf>
    <xf numFmtId="177" fontId="20" fillId="0" borderId="30" xfId="46" applyNumberFormat="1" applyFont="1" applyBorder="1" applyAlignment="1">
      <alignment horizontal="right" vertical="center"/>
    </xf>
    <xf numFmtId="177" fontId="20" fillId="0" borderId="26" xfId="46" applyNumberFormat="1" applyFont="1" applyBorder="1" applyAlignment="1">
      <alignment horizontal="right" vertical="center"/>
    </xf>
    <xf numFmtId="177" fontId="20" fillId="0" borderId="38" xfId="46" applyNumberFormat="1" applyFont="1" applyBorder="1" applyAlignment="1">
      <alignment vertical="center"/>
    </xf>
    <xf numFmtId="181" fontId="20" fillId="0" borderId="44" xfId="46" applyNumberFormat="1" applyFont="1" applyBorder="1" applyAlignment="1">
      <alignment vertical="center"/>
    </xf>
    <xf numFmtId="177" fontId="17" fillId="4" borderId="40" xfId="46" applyNumberFormat="1" applyFont="1" applyFill="1" applyBorder="1" applyAlignment="1">
      <alignment horizontal="center" vertical="center" wrapText="1"/>
    </xf>
    <xf numFmtId="177" fontId="17" fillId="4" borderId="45" xfId="46" applyNumberFormat="1" applyFont="1" applyFill="1" applyBorder="1" applyAlignment="1">
      <alignment horizontal="center" vertical="center" textRotation="255"/>
    </xf>
    <xf numFmtId="177" fontId="20" fillId="0" borderId="22" xfId="46" applyNumberFormat="1" applyFont="1" applyBorder="1" applyAlignment="1">
      <alignment vertical="center"/>
    </xf>
    <xf numFmtId="181" fontId="20" fillId="0" borderId="46" xfId="46" applyNumberFormat="1" applyFont="1" applyBorder="1" applyAlignment="1">
      <alignment vertical="center"/>
    </xf>
    <xf numFmtId="177" fontId="17" fillId="4" borderId="0" xfId="46" applyNumberFormat="1" applyFont="1" applyFill="1" applyAlignment="1">
      <alignment horizontal="center" vertical="center" textRotation="255"/>
    </xf>
    <xf numFmtId="177" fontId="17" fillId="4" borderId="47" xfId="46" applyNumberFormat="1" applyFont="1" applyFill="1" applyBorder="1" applyAlignment="1">
      <alignment horizontal="center" vertical="center" textRotation="255"/>
    </xf>
    <xf numFmtId="182" fontId="17" fillId="0" borderId="0" xfId="46" applyNumberFormat="1" applyFont="1" applyAlignment="1">
      <alignment vertical="center"/>
    </xf>
    <xf numFmtId="177" fontId="20" fillId="0" borderId="29" xfId="46" applyNumberFormat="1" applyFont="1" applyBorder="1" applyAlignment="1">
      <alignment horizontal="center" vertical="center"/>
    </xf>
    <xf numFmtId="177" fontId="17" fillId="4" borderId="41" xfId="46" applyNumberFormat="1" applyFont="1" applyFill="1" applyBorder="1" applyAlignment="1">
      <alignment horizontal="center" vertical="center" wrapText="1"/>
    </xf>
    <xf numFmtId="177" fontId="17" fillId="4" borderId="42" xfId="46" applyNumberFormat="1" applyFont="1" applyFill="1" applyBorder="1" applyAlignment="1">
      <alignment horizontal="center" vertical="center"/>
    </xf>
    <xf numFmtId="179" fontId="20" fillId="0" borderId="24" xfId="46" applyNumberFormat="1" applyFont="1" applyBorder="1" applyAlignment="1">
      <alignment vertical="center"/>
    </xf>
    <xf numFmtId="177" fontId="20" fillId="0" borderId="43" xfId="46" applyNumberFormat="1" applyFont="1" applyBorder="1" applyAlignment="1">
      <alignment horizontal="center" vertical="center"/>
    </xf>
    <xf numFmtId="179" fontId="20" fillId="0" borderId="30" xfId="46" applyNumberFormat="1" applyFont="1" applyBorder="1" applyAlignment="1">
      <alignment vertical="center"/>
    </xf>
    <xf numFmtId="10" fontId="20" fillId="0" borderId="48" xfId="46" applyNumberFormat="1" applyFont="1" applyBorder="1" applyAlignment="1">
      <alignment horizontal="center" vertical="center"/>
    </xf>
    <xf numFmtId="177" fontId="22" fillId="0" borderId="0" xfId="46" applyNumberFormat="1" applyFont="1" applyAlignment="1">
      <alignment vertical="center"/>
    </xf>
    <xf numFmtId="177" fontId="17" fillId="4" borderId="33" xfId="46" applyNumberFormat="1" applyFont="1" applyFill="1" applyBorder="1" applyAlignment="1">
      <alignment horizontal="center" vertical="center"/>
    </xf>
    <xf numFmtId="177" fontId="17" fillId="4" borderId="49" xfId="46" applyNumberFormat="1" applyFont="1" applyFill="1" applyBorder="1" applyAlignment="1">
      <alignment horizontal="center" vertical="center" textRotation="255"/>
    </xf>
    <xf numFmtId="177" fontId="17" fillId="4" borderId="50" xfId="46" applyNumberFormat="1" applyFont="1" applyFill="1" applyBorder="1" applyAlignment="1">
      <alignment horizontal="center" vertical="center" textRotation="255"/>
    </xf>
    <xf numFmtId="177" fontId="17" fillId="4" borderId="51" xfId="46" applyNumberFormat="1" applyFont="1" applyFill="1" applyBorder="1" applyAlignment="1">
      <alignment vertical="center"/>
    </xf>
    <xf numFmtId="177" fontId="17" fillId="4" borderId="39" xfId="46" applyNumberFormat="1" applyFont="1" applyFill="1" applyBorder="1" applyAlignment="1">
      <alignment horizontal="center" vertical="center"/>
    </xf>
    <xf numFmtId="177" fontId="20" fillId="0" borderId="52" xfId="46" applyNumberFormat="1" applyFont="1" applyBorder="1" applyAlignment="1">
      <alignment vertical="center"/>
    </xf>
    <xf numFmtId="177" fontId="20" fillId="0" borderId="27" xfId="46" applyNumberFormat="1" applyFont="1" applyBorder="1" applyAlignment="1">
      <alignment horizontal="right" vertical="center"/>
    </xf>
    <xf numFmtId="177" fontId="20" fillId="0" borderId="53" xfId="46" applyNumberFormat="1" applyFont="1" applyBorder="1" applyAlignment="1">
      <alignment vertical="center"/>
    </xf>
    <xf numFmtId="177" fontId="20" fillId="0" borderId="40" xfId="46" applyNumberFormat="1" applyFont="1" applyBorder="1" applyAlignment="1">
      <alignment horizontal="right" vertical="center"/>
    </xf>
    <xf numFmtId="177" fontId="20" fillId="0" borderId="54" xfId="46" applyNumberFormat="1" applyFont="1" applyBorder="1" applyAlignment="1">
      <alignment horizontal="right" vertical="center"/>
    </xf>
    <xf numFmtId="177" fontId="20" fillId="0" borderId="55" xfId="46" applyNumberFormat="1" applyFont="1" applyBorder="1" applyAlignment="1">
      <alignment vertical="center"/>
    </xf>
    <xf numFmtId="177" fontId="17" fillId="4" borderId="56" xfId="46" applyNumberFormat="1" applyFont="1" applyFill="1" applyBorder="1" applyAlignment="1">
      <alignment vertical="center"/>
    </xf>
    <xf numFmtId="177" fontId="17" fillId="4" borderId="57" xfId="46" applyNumberFormat="1" applyFont="1" applyFill="1" applyBorder="1" applyAlignment="1">
      <alignment horizontal="center" vertical="center"/>
    </xf>
    <xf numFmtId="177" fontId="20" fillId="0" borderId="23" xfId="46" applyNumberFormat="1" applyFont="1" applyBorder="1" applyAlignment="1">
      <alignment vertical="center"/>
    </xf>
    <xf numFmtId="177" fontId="20" fillId="0" borderId="58" xfId="46" applyNumberFormat="1" applyFont="1" applyBorder="1" applyAlignment="1">
      <alignment vertical="center"/>
    </xf>
    <xf numFmtId="177" fontId="20" fillId="0" borderId="43" xfId="46" applyNumberFormat="1" applyFont="1" applyBorder="1" applyAlignment="1">
      <alignment vertical="center"/>
    </xf>
    <xf numFmtId="177" fontId="17" fillId="4" borderId="31" xfId="46" applyNumberFormat="1" applyFont="1" applyFill="1" applyBorder="1" applyAlignment="1">
      <alignment horizontal="center" vertical="center"/>
    </xf>
    <xf numFmtId="177" fontId="17" fillId="4" borderId="8" xfId="46" applyNumberFormat="1" applyFont="1" applyFill="1" applyBorder="1" applyAlignment="1">
      <alignment horizontal="center" vertical="center" wrapText="1"/>
    </xf>
    <xf numFmtId="177" fontId="17" fillId="4" borderId="8" xfId="46" applyNumberFormat="1" applyFont="1" applyFill="1" applyBorder="1" applyAlignment="1">
      <alignment horizontal="center" vertical="center"/>
    </xf>
    <xf numFmtId="178" fontId="20" fillId="0" borderId="22" xfId="46" applyNumberFormat="1" applyFont="1" applyBorder="1" applyAlignment="1">
      <alignment vertical="center"/>
    </xf>
    <xf numFmtId="178" fontId="20" fillId="0" borderId="20" xfId="46" applyNumberFormat="1" applyFont="1" applyBorder="1" applyAlignment="1">
      <alignment vertical="center"/>
    </xf>
    <xf numFmtId="183" fontId="20" fillId="0" borderId="1" xfId="46" applyNumberFormat="1" applyFont="1" applyBorder="1" applyAlignment="1">
      <alignment vertical="center"/>
    </xf>
    <xf numFmtId="177" fontId="20" fillId="0" borderId="37" xfId="46" applyNumberFormat="1" applyFont="1" applyBorder="1" applyAlignment="1">
      <alignment vertical="center"/>
    </xf>
    <xf numFmtId="177" fontId="20" fillId="0" borderId="4" xfId="46" applyNumberFormat="1" applyFont="1" applyBorder="1" applyAlignment="1">
      <alignment vertical="center"/>
    </xf>
    <xf numFmtId="177" fontId="20" fillId="0" borderId="28" xfId="46" applyNumberFormat="1" applyFont="1" applyBorder="1" applyAlignment="1">
      <alignment horizontal="right" vertical="center"/>
    </xf>
    <xf numFmtId="177" fontId="20" fillId="0" borderId="53" xfId="46" applyNumberFormat="1" applyFont="1" applyBorder="1" applyAlignment="1">
      <alignment horizontal="right" vertical="center"/>
    </xf>
    <xf numFmtId="177" fontId="20" fillId="0" borderId="55" xfId="46" applyNumberFormat="1" applyFont="1" applyBorder="1" applyAlignment="1">
      <alignment horizontal="right" vertical="center"/>
    </xf>
    <xf numFmtId="177" fontId="20" fillId="0" borderId="59" xfId="46" applyNumberFormat="1" applyFont="1" applyBorder="1" applyAlignment="1">
      <alignment vertical="center"/>
    </xf>
    <xf numFmtId="177" fontId="20" fillId="0" borderId="60" xfId="46" applyNumberFormat="1" applyFont="1" applyBorder="1" applyAlignment="1">
      <alignment vertical="center"/>
    </xf>
    <xf numFmtId="177" fontId="17" fillId="4" borderId="0" xfId="46" applyNumberFormat="1" applyFont="1" applyFill="1" applyAlignment="1">
      <alignment vertical="center"/>
    </xf>
    <xf numFmtId="177" fontId="17" fillId="4" borderId="45" xfId="46" applyNumberFormat="1" applyFont="1" applyFill="1" applyBorder="1" applyAlignment="1">
      <alignment vertical="center"/>
    </xf>
    <xf numFmtId="177" fontId="17" fillId="4" borderId="45" xfId="46" applyNumberFormat="1" applyFont="1" applyFill="1" applyBorder="1" applyAlignment="1">
      <alignment horizontal="center" vertical="center"/>
    </xf>
    <xf numFmtId="179" fontId="20" fillId="0" borderId="23" xfId="46" applyNumberFormat="1" applyFont="1" applyBorder="1" applyAlignment="1">
      <alignment horizontal="center" vertical="center"/>
    </xf>
    <xf numFmtId="179" fontId="20" fillId="0" borderId="24" xfId="46" applyNumberFormat="1" applyFont="1" applyBorder="1" applyAlignment="1">
      <alignment horizontal="right" vertical="center"/>
    </xf>
    <xf numFmtId="184" fontId="20" fillId="0" borderId="48" xfId="46" applyNumberFormat="1" applyFont="1" applyBorder="1" applyAlignment="1">
      <alignment horizontal="center" vertical="center"/>
    </xf>
    <xf numFmtId="0" fontId="25" fillId="2" borderId="0" xfId="5" applyFont="1" applyFill="1"/>
    <xf numFmtId="0" fontId="25" fillId="0" borderId="0" xfId="5" applyFont="1"/>
    <xf numFmtId="3" fontId="22" fillId="0" borderId="0" xfId="47" applyNumberFormat="1" applyFont="1" applyAlignment="1">
      <alignment horizontal="left" vertical="center"/>
    </xf>
    <xf numFmtId="3" fontId="32" fillId="0" borderId="0" xfId="47" applyNumberFormat="1" applyFont="1" applyAlignment="1">
      <alignment vertical="center"/>
    </xf>
    <xf numFmtId="177" fontId="32" fillId="0" borderId="0" xfId="47" applyNumberFormat="1" applyFont="1" applyAlignment="1">
      <alignment vertical="center"/>
    </xf>
    <xf numFmtId="189" fontId="32" fillId="0" borderId="0" xfId="47" applyNumberFormat="1" applyFont="1" applyAlignment="1">
      <alignment vertical="center"/>
    </xf>
    <xf numFmtId="190" fontId="32" fillId="0" borderId="0" xfId="47" applyNumberFormat="1" applyFont="1" applyAlignment="1">
      <alignment vertical="center"/>
    </xf>
    <xf numFmtId="3" fontId="32" fillId="0" borderId="0" xfId="47" applyNumberFormat="1" applyFont="1" applyAlignment="1">
      <alignment horizontal="center" vertical="center"/>
    </xf>
    <xf numFmtId="3" fontId="32" fillId="4" borderId="62" xfId="47" applyNumberFormat="1" applyFont="1" applyFill="1" applyBorder="1" applyAlignment="1">
      <alignment horizontal="center" vertical="center"/>
    </xf>
    <xf numFmtId="3" fontId="32" fillId="4" borderId="77" xfId="47" applyNumberFormat="1" applyFont="1" applyFill="1" applyBorder="1" applyAlignment="1">
      <alignment horizontal="center" vertical="center" wrapText="1"/>
    </xf>
    <xf numFmtId="189" fontId="32" fillId="4" borderId="78" xfId="47" applyNumberFormat="1" applyFont="1" applyFill="1" applyBorder="1" applyAlignment="1">
      <alignment horizontal="center" vertical="center"/>
    </xf>
    <xf numFmtId="189" fontId="32" fillId="4" borderId="79" xfId="47" applyNumberFormat="1" applyFont="1" applyFill="1" applyBorder="1" applyAlignment="1">
      <alignment horizontal="center" vertical="center"/>
    </xf>
    <xf numFmtId="189" fontId="32" fillId="4" borderId="80" xfId="47" applyNumberFormat="1" applyFont="1" applyFill="1" applyBorder="1" applyAlignment="1">
      <alignment horizontal="center" vertical="center"/>
    </xf>
    <xf numFmtId="190" fontId="32" fillId="4" borderId="78" xfId="47" applyNumberFormat="1" applyFont="1" applyFill="1" applyBorder="1" applyAlignment="1">
      <alignment horizontal="center" vertical="center"/>
    </xf>
    <xf numFmtId="190" fontId="32" fillId="4" borderId="79" xfId="47" applyNumberFormat="1" applyFont="1" applyFill="1" applyBorder="1" applyAlignment="1">
      <alignment horizontal="center" vertical="center"/>
    </xf>
    <xf numFmtId="190" fontId="32" fillId="4" borderId="80" xfId="47" applyNumberFormat="1" applyFont="1" applyFill="1" applyBorder="1" applyAlignment="1">
      <alignment horizontal="center" vertical="center"/>
    </xf>
    <xf numFmtId="189" fontId="32" fillId="8" borderId="1" xfId="47" applyNumberFormat="1" applyFont="1" applyFill="1" applyBorder="1" applyAlignment="1">
      <alignment horizontal="center" vertical="center"/>
    </xf>
    <xf numFmtId="3" fontId="32" fillId="4" borderId="77" xfId="47" applyNumberFormat="1" applyFont="1" applyFill="1" applyBorder="1" applyAlignment="1">
      <alignment horizontal="center" vertical="center"/>
    </xf>
    <xf numFmtId="177" fontId="32" fillId="4" borderId="81" xfId="47" applyNumberFormat="1" applyFont="1" applyFill="1" applyBorder="1" applyAlignment="1">
      <alignment horizontal="center" vertical="center"/>
    </xf>
    <xf numFmtId="3" fontId="32" fillId="4" borderId="82" xfId="47" applyNumberFormat="1" applyFont="1" applyFill="1" applyBorder="1" applyAlignment="1">
      <alignment horizontal="center" vertical="center" wrapText="1"/>
    </xf>
    <xf numFmtId="189" fontId="32" fillId="4" borderId="83" xfId="47" applyNumberFormat="1" applyFont="1" applyFill="1" applyBorder="1" applyAlignment="1">
      <alignment horizontal="center" vertical="center" wrapText="1"/>
    </xf>
    <xf numFmtId="190" fontId="32" fillId="4" borderId="81" xfId="47" applyNumberFormat="1" applyFont="1" applyFill="1" applyBorder="1" applyAlignment="1">
      <alignment horizontal="center" vertical="center"/>
    </xf>
    <xf numFmtId="177" fontId="32" fillId="4" borderId="84" xfId="47" applyNumberFormat="1" applyFont="1" applyFill="1" applyBorder="1" applyAlignment="1">
      <alignment horizontal="center" vertical="center"/>
    </xf>
    <xf numFmtId="3" fontId="32" fillId="4" borderId="3" xfId="47" applyNumberFormat="1" applyFont="1" applyFill="1" applyBorder="1" applyAlignment="1">
      <alignment horizontal="center" vertical="center" wrapText="1"/>
    </xf>
    <xf numFmtId="189" fontId="32" fillId="4" borderId="85" xfId="47" applyNumberFormat="1" applyFont="1" applyFill="1" applyBorder="1" applyAlignment="1">
      <alignment horizontal="center" vertical="center" wrapText="1"/>
    </xf>
    <xf numFmtId="3" fontId="32" fillId="5" borderId="87" xfId="47" applyNumberFormat="1" applyFont="1" applyFill="1" applyBorder="1" applyAlignment="1">
      <alignment horizontal="center" vertical="center"/>
    </xf>
    <xf numFmtId="3" fontId="32" fillId="0" borderId="88" xfId="47" applyNumberFormat="1" applyFont="1" applyBorder="1" applyAlignment="1">
      <alignment vertical="center"/>
    </xf>
    <xf numFmtId="177" fontId="32" fillId="0" borderId="89" xfId="47" applyNumberFormat="1" applyFont="1" applyBorder="1" applyAlignment="1">
      <alignment vertical="center"/>
    </xf>
    <xf numFmtId="3" fontId="32" fillId="0" borderId="90" xfId="47" applyNumberFormat="1" applyFont="1" applyBorder="1" applyAlignment="1">
      <alignment vertical="center"/>
    </xf>
    <xf numFmtId="189" fontId="32" fillId="0" borderId="91" xfId="47" applyNumberFormat="1" applyFont="1" applyBorder="1" applyAlignment="1">
      <alignment vertical="center"/>
    </xf>
    <xf numFmtId="3" fontId="32" fillId="0" borderId="89" xfId="47" applyNumberFormat="1" applyFont="1" applyBorder="1" applyAlignment="1">
      <alignment vertical="center"/>
    </xf>
    <xf numFmtId="3" fontId="32" fillId="0" borderId="92" xfId="47" applyNumberFormat="1" applyFont="1" applyBorder="1" applyAlignment="1">
      <alignment vertical="center"/>
    </xf>
    <xf numFmtId="189" fontId="32" fillId="0" borderId="93" xfId="47" applyNumberFormat="1" applyFont="1" applyBorder="1" applyAlignment="1">
      <alignment vertical="center"/>
    </xf>
    <xf numFmtId="3" fontId="32" fillId="5" borderId="95" xfId="47" applyNumberFormat="1" applyFont="1" applyFill="1" applyBorder="1" applyAlignment="1">
      <alignment horizontal="center" vertical="center"/>
    </xf>
    <xf numFmtId="3" fontId="32" fillId="0" borderId="96" xfId="47" applyNumberFormat="1" applyFont="1" applyBorder="1" applyAlignment="1">
      <alignment vertical="center"/>
    </xf>
    <xf numFmtId="177" fontId="32" fillId="0" borderId="97" xfId="47" applyNumberFormat="1" applyFont="1" applyBorder="1" applyAlignment="1">
      <alignment vertical="center"/>
    </xf>
    <xf numFmtId="3" fontId="32" fillId="0" borderId="98" xfId="47" applyNumberFormat="1" applyFont="1" applyBorder="1" applyAlignment="1">
      <alignment vertical="center"/>
    </xf>
    <xf numFmtId="189" fontId="32" fillId="0" borderId="99" xfId="47" applyNumberFormat="1" applyFont="1" applyBorder="1" applyAlignment="1">
      <alignment vertical="center"/>
    </xf>
    <xf numFmtId="3" fontId="32" fillId="0" borderId="97" xfId="47" applyNumberFormat="1" applyFont="1" applyBorder="1" applyAlignment="1">
      <alignment vertical="center"/>
    </xf>
    <xf numFmtId="3" fontId="32" fillId="0" borderId="100" xfId="47" applyNumberFormat="1" applyFont="1" applyBorder="1" applyAlignment="1">
      <alignment vertical="center"/>
    </xf>
    <xf numFmtId="189" fontId="32" fillId="0" borderId="101" xfId="47" applyNumberFormat="1" applyFont="1" applyBorder="1" applyAlignment="1">
      <alignment vertical="center"/>
    </xf>
    <xf numFmtId="3" fontId="32" fillId="5" borderId="103" xfId="47" applyNumberFormat="1" applyFont="1" applyFill="1" applyBorder="1" applyAlignment="1">
      <alignment horizontal="center" vertical="center"/>
    </xf>
    <xf numFmtId="3" fontId="32" fillId="0" borderId="104" xfId="47" applyNumberFormat="1" applyFont="1" applyBorder="1" applyAlignment="1">
      <alignment vertical="center"/>
    </xf>
    <xf numFmtId="177" fontId="32" fillId="0" borderId="105" xfId="47" applyNumberFormat="1" applyFont="1" applyBorder="1" applyAlignment="1">
      <alignment vertical="center"/>
    </xf>
    <xf numFmtId="3" fontId="32" fillId="0" borderId="106" xfId="47" applyNumberFormat="1" applyFont="1" applyBorder="1" applyAlignment="1">
      <alignment vertical="center"/>
    </xf>
    <xf numFmtId="189" fontId="32" fillId="0" borderId="107" xfId="47" applyNumberFormat="1" applyFont="1" applyBorder="1" applyAlignment="1">
      <alignment vertical="center"/>
    </xf>
    <xf numFmtId="3" fontId="32" fillId="0" borderId="105" xfId="47" applyNumberFormat="1" applyFont="1" applyBorder="1" applyAlignment="1">
      <alignment vertical="center"/>
    </xf>
    <xf numFmtId="3" fontId="32" fillId="0" borderId="108" xfId="47" applyNumberFormat="1" applyFont="1" applyBorder="1" applyAlignment="1">
      <alignment vertical="center"/>
    </xf>
    <xf numFmtId="189" fontId="32" fillId="0" borderId="109" xfId="47" applyNumberFormat="1" applyFont="1" applyBorder="1" applyAlignment="1">
      <alignment vertical="center"/>
    </xf>
    <xf numFmtId="189" fontId="32" fillId="0" borderId="111" xfId="47" applyNumberFormat="1" applyFont="1" applyBorder="1" applyAlignment="1">
      <alignment vertical="center"/>
    </xf>
    <xf numFmtId="3" fontId="10" fillId="5" borderId="95" xfId="47" applyNumberFormat="1" applyFont="1" applyFill="1" applyBorder="1" applyAlignment="1">
      <alignment horizontal="center" vertical="center"/>
    </xf>
    <xf numFmtId="3" fontId="10" fillId="0" borderId="96" xfId="47" applyNumberFormat="1" applyFont="1" applyBorder="1" applyAlignment="1">
      <alignment vertical="center"/>
    </xf>
    <xf numFmtId="177" fontId="10" fillId="0" borderId="97" xfId="47" applyNumberFormat="1" applyFont="1" applyBorder="1" applyAlignment="1">
      <alignment vertical="center"/>
    </xf>
    <xf numFmtId="3" fontId="10" fillId="0" borderId="98" xfId="47" applyNumberFormat="1" applyFont="1" applyBorder="1" applyAlignment="1">
      <alignment vertical="center"/>
    </xf>
    <xf numFmtId="189" fontId="10" fillId="0" borderId="99" xfId="47" applyNumberFormat="1" applyFont="1" applyBorder="1" applyAlignment="1">
      <alignment vertical="center"/>
    </xf>
    <xf numFmtId="3" fontId="10" fillId="0" borderId="97" xfId="47" applyNumberFormat="1" applyFont="1" applyBorder="1" applyAlignment="1">
      <alignment vertical="center"/>
    </xf>
    <xf numFmtId="3" fontId="10" fillId="0" borderId="100" xfId="47" applyNumberFormat="1" applyFont="1" applyBorder="1" applyAlignment="1">
      <alignment vertical="center"/>
    </xf>
    <xf numFmtId="189" fontId="10" fillId="0" borderId="101" xfId="47" applyNumberFormat="1" applyFont="1" applyBorder="1" applyAlignment="1">
      <alignment vertical="center"/>
    </xf>
    <xf numFmtId="3" fontId="10" fillId="0" borderId="0" xfId="47" applyNumberFormat="1" applyFont="1" applyAlignment="1">
      <alignment vertical="center"/>
    </xf>
    <xf numFmtId="3" fontId="10" fillId="5" borderId="103" xfId="47" applyNumberFormat="1" applyFont="1" applyFill="1" applyBorder="1" applyAlignment="1">
      <alignment horizontal="center" vertical="center"/>
    </xf>
    <xf numFmtId="3" fontId="10" fillId="0" borderId="104" xfId="47" applyNumberFormat="1" applyFont="1" applyBorder="1" applyAlignment="1">
      <alignment vertical="center"/>
    </xf>
    <xf numFmtId="177" fontId="10" fillId="0" borderId="105" xfId="47" applyNumberFormat="1" applyFont="1" applyBorder="1" applyAlignment="1">
      <alignment vertical="center"/>
    </xf>
    <xf numFmtId="3" fontId="10" fillId="0" borderId="106" xfId="47" applyNumberFormat="1" applyFont="1" applyBorder="1" applyAlignment="1">
      <alignment vertical="center"/>
    </xf>
    <xf numFmtId="189" fontId="10" fillId="0" borderId="107" xfId="47" applyNumberFormat="1" applyFont="1" applyBorder="1" applyAlignment="1">
      <alignment vertical="center"/>
    </xf>
    <xf numFmtId="3" fontId="10" fillId="0" borderId="105" xfId="47" applyNumberFormat="1" applyFont="1" applyBorder="1" applyAlignment="1">
      <alignment vertical="center"/>
    </xf>
    <xf numFmtId="3" fontId="10" fillId="0" borderId="108" xfId="47" applyNumberFormat="1" applyFont="1" applyBorder="1" applyAlignment="1">
      <alignment vertical="center"/>
    </xf>
    <xf numFmtId="189" fontId="10" fillId="0" borderId="109" xfId="47" applyNumberFormat="1" applyFont="1" applyBorder="1" applyAlignment="1">
      <alignment vertical="center"/>
    </xf>
    <xf numFmtId="3" fontId="10" fillId="5" borderId="87" xfId="47" applyNumberFormat="1" applyFont="1" applyFill="1" applyBorder="1" applyAlignment="1">
      <alignment horizontal="center" vertical="center"/>
    </xf>
    <xf numFmtId="3" fontId="10" fillId="0" borderId="88" xfId="47" applyNumberFormat="1" applyFont="1" applyBorder="1" applyAlignment="1">
      <alignment vertical="center"/>
    </xf>
    <xf numFmtId="177" fontId="10" fillId="0" borderId="89" xfId="47" applyNumberFormat="1" applyFont="1" applyBorder="1" applyAlignment="1">
      <alignment vertical="center"/>
    </xf>
    <xf numFmtId="3" fontId="10" fillId="0" borderId="90" xfId="47" applyNumberFormat="1" applyFont="1" applyBorder="1" applyAlignment="1">
      <alignment vertical="center"/>
    </xf>
    <xf numFmtId="189" fontId="10" fillId="0" borderId="91" xfId="47" applyNumberFormat="1" applyFont="1" applyBorder="1" applyAlignment="1">
      <alignment vertical="center"/>
    </xf>
    <xf numFmtId="3" fontId="10" fillId="0" borderId="89" xfId="47" applyNumberFormat="1" applyFont="1" applyBorder="1" applyAlignment="1">
      <alignment vertical="center"/>
    </xf>
    <xf numFmtId="3" fontId="10" fillId="0" borderId="92" xfId="47" applyNumberFormat="1" applyFont="1" applyBorder="1" applyAlignment="1">
      <alignment vertical="center"/>
    </xf>
    <xf numFmtId="189" fontId="10" fillId="0" borderId="93" xfId="47" applyNumberFormat="1" applyFont="1" applyBorder="1" applyAlignment="1">
      <alignment vertical="center"/>
    </xf>
    <xf numFmtId="3" fontId="10" fillId="9" borderId="95" xfId="47" applyNumberFormat="1" applyFont="1" applyFill="1" applyBorder="1" applyAlignment="1">
      <alignment horizontal="center" vertical="center"/>
    </xf>
    <xf numFmtId="3" fontId="10" fillId="5" borderId="112" xfId="47" applyNumberFormat="1" applyFont="1" applyFill="1" applyBorder="1" applyAlignment="1">
      <alignment horizontal="center" vertical="center"/>
    </xf>
    <xf numFmtId="3" fontId="10" fillId="0" borderId="113" xfId="47" applyNumberFormat="1" applyFont="1" applyBorder="1" applyAlignment="1">
      <alignment vertical="center"/>
    </xf>
    <xf numFmtId="177" fontId="10" fillId="0" borderId="114" xfId="47" applyNumberFormat="1" applyFont="1" applyBorder="1" applyAlignment="1">
      <alignment vertical="center"/>
    </xf>
    <xf numFmtId="3" fontId="10" fillId="0" borderId="115" xfId="47" applyNumberFormat="1" applyFont="1" applyBorder="1" applyAlignment="1">
      <alignment vertical="center"/>
    </xf>
    <xf numFmtId="189" fontId="10" fillId="0" borderId="116" xfId="47" applyNumberFormat="1" applyFont="1" applyBorder="1" applyAlignment="1">
      <alignment vertical="center"/>
    </xf>
    <xf numFmtId="3" fontId="10" fillId="0" borderId="114" xfId="47" applyNumberFormat="1" applyFont="1" applyBorder="1" applyAlignment="1">
      <alignment vertical="center"/>
    </xf>
    <xf numFmtId="3" fontId="10" fillId="0" borderId="117" xfId="47" applyNumberFormat="1" applyFont="1" applyBorder="1" applyAlignment="1">
      <alignment vertical="center"/>
    </xf>
    <xf numFmtId="189" fontId="10" fillId="0" borderId="118" xfId="47" applyNumberFormat="1" applyFont="1" applyBorder="1" applyAlignment="1">
      <alignment vertical="center"/>
    </xf>
    <xf numFmtId="3" fontId="10" fillId="9" borderId="120" xfId="47" applyNumberFormat="1" applyFont="1" applyFill="1" applyBorder="1" applyAlignment="1">
      <alignment horizontal="center" vertical="center"/>
    </xf>
    <xf numFmtId="3" fontId="10" fillId="2" borderId="121" xfId="47" applyNumberFormat="1" applyFont="1" applyFill="1" applyBorder="1" applyAlignment="1">
      <alignment vertical="center"/>
    </xf>
    <xf numFmtId="177" fontId="10" fillId="2" borderId="122" xfId="47" applyNumberFormat="1" applyFont="1" applyFill="1" applyBorder="1" applyAlignment="1">
      <alignment vertical="center"/>
    </xf>
    <xf numFmtId="3" fontId="10" fillId="2" borderId="123" xfId="47" applyNumberFormat="1" applyFont="1" applyFill="1" applyBorder="1" applyAlignment="1">
      <alignment vertical="center"/>
    </xf>
    <xf numFmtId="189" fontId="10" fillId="2" borderId="124" xfId="47" applyNumberFormat="1" applyFont="1" applyFill="1" applyBorder="1" applyAlignment="1">
      <alignment vertical="center"/>
    </xf>
    <xf numFmtId="3" fontId="10" fillId="2" borderId="122" xfId="47" applyNumberFormat="1" applyFont="1" applyFill="1" applyBorder="1" applyAlignment="1">
      <alignment vertical="center"/>
    </xf>
    <xf numFmtId="3" fontId="10" fillId="2" borderId="125" xfId="47" applyNumberFormat="1" applyFont="1" applyFill="1" applyBorder="1" applyAlignment="1">
      <alignment vertical="center"/>
    </xf>
    <xf numFmtId="189" fontId="10" fillId="2" borderId="126" xfId="47" applyNumberFormat="1" applyFont="1" applyFill="1" applyBorder="1" applyAlignment="1">
      <alignment vertical="center"/>
    </xf>
    <xf numFmtId="3" fontId="10" fillId="9" borderId="63" xfId="47" applyNumberFormat="1" applyFont="1" applyFill="1" applyBorder="1" applyAlignment="1">
      <alignment horizontal="center" vertical="center"/>
    </xf>
    <xf numFmtId="3" fontId="10" fillId="2" borderId="128" xfId="47" applyNumberFormat="1" applyFont="1" applyFill="1" applyBorder="1" applyAlignment="1">
      <alignment vertical="center"/>
    </xf>
    <xf numFmtId="177" fontId="10" fillId="2" borderId="129" xfId="47" applyNumberFormat="1" applyFont="1" applyFill="1" applyBorder="1" applyAlignment="1">
      <alignment vertical="center"/>
    </xf>
    <xf numFmtId="3" fontId="10" fillId="2" borderId="130" xfId="47" applyNumberFormat="1" applyFont="1" applyFill="1" applyBorder="1" applyAlignment="1">
      <alignment vertical="center"/>
    </xf>
    <xf numFmtId="189" fontId="10" fillId="2" borderId="131" xfId="47" applyNumberFormat="1" applyFont="1" applyFill="1" applyBorder="1" applyAlignment="1">
      <alignment vertical="center"/>
    </xf>
    <xf numFmtId="3" fontId="10" fillId="2" borderId="132" xfId="47" applyNumberFormat="1" applyFont="1" applyFill="1" applyBorder="1" applyAlignment="1">
      <alignment vertical="center"/>
    </xf>
    <xf numFmtId="177" fontId="10" fillId="2" borderId="132" xfId="47" applyNumberFormat="1" applyFont="1" applyFill="1" applyBorder="1" applyAlignment="1">
      <alignment vertical="center"/>
    </xf>
    <xf numFmtId="3" fontId="10" fillId="2" borderId="133" xfId="47" applyNumberFormat="1" applyFont="1" applyFill="1" applyBorder="1" applyAlignment="1">
      <alignment vertical="center"/>
    </xf>
    <xf numFmtId="189" fontId="10" fillId="2" borderId="134" xfId="47" applyNumberFormat="1" applyFont="1" applyFill="1" applyBorder="1" applyAlignment="1">
      <alignment vertical="center"/>
    </xf>
    <xf numFmtId="3" fontId="10" fillId="9" borderId="136" xfId="47" applyNumberFormat="1" applyFont="1" applyFill="1" applyBorder="1" applyAlignment="1">
      <alignment horizontal="center" vertical="center"/>
    </xf>
    <xf numFmtId="3" fontId="10" fillId="2" borderId="137" xfId="47" applyNumberFormat="1" applyFont="1" applyFill="1" applyBorder="1" applyAlignment="1">
      <alignment vertical="center"/>
    </xf>
    <xf numFmtId="177" fontId="10" fillId="2" borderId="138" xfId="47" applyNumberFormat="1" applyFont="1" applyFill="1" applyBorder="1" applyAlignment="1">
      <alignment vertical="center"/>
    </xf>
    <xf numFmtId="3" fontId="10" fillId="2" borderId="139" xfId="47" applyNumberFormat="1" applyFont="1" applyFill="1" applyBorder="1" applyAlignment="1">
      <alignment vertical="center"/>
    </xf>
    <xf numFmtId="189" fontId="10" fillId="2" borderId="140" xfId="47" applyNumberFormat="1" applyFont="1" applyFill="1" applyBorder="1" applyAlignment="1">
      <alignment vertical="center"/>
    </xf>
    <xf numFmtId="3" fontId="10" fillId="2" borderId="138" xfId="47" applyNumberFormat="1" applyFont="1" applyFill="1" applyBorder="1" applyAlignment="1">
      <alignment vertical="center"/>
    </xf>
    <xf numFmtId="3" fontId="10" fillId="2" borderId="141" xfId="47" applyNumberFormat="1" applyFont="1" applyFill="1" applyBorder="1" applyAlignment="1">
      <alignment vertical="center"/>
    </xf>
    <xf numFmtId="189" fontId="10" fillId="2" borderId="142" xfId="47" applyNumberFormat="1" applyFont="1" applyFill="1" applyBorder="1" applyAlignment="1">
      <alignment vertical="center"/>
    </xf>
    <xf numFmtId="3" fontId="10" fillId="2" borderId="142" xfId="47" applyNumberFormat="1" applyFont="1" applyFill="1" applyBorder="1" applyAlignment="1">
      <alignment vertical="center"/>
    </xf>
    <xf numFmtId="189" fontId="10" fillId="2" borderId="144" xfId="47" applyNumberFormat="1" applyFont="1" applyFill="1" applyBorder="1" applyAlignment="1">
      <alignment vertical="center"/>
    </xf>
    <xf numFmtId="3" fontId="10" fillId="9" borderId="145" xfId="47" applyNumberFormat="1" applyFont="1" applyFill="1" applyBorder="1" applyAlignment="1">
      <alignment horizontal="center" vertical="center"/>
    </xf>
    <xf numFmtId="3" fontId="10" fillId="0" borderId="146" xfId="47" applyNumberFormat="1" applyFont="1" applyBorder="1" applyAlignment="1">
      <alignment vertical="center"/>
    </xf>
    <xf numFmtId="177" fontId="10" fillId="0" borderId="147" xfId="47" applyNumberFormat="1" applyFont="1" applyBorder="1" applyAlignment="1">
      <alignment vertical="center"/>
    </xf>
    <xf numFmtId="3" fontId="10" fillId="0" borderId="148" xfId="47" applyNumberFormat="1" applyFont="1" applyBorder="1" applyAlignment="1">
      <alignment vertical="center"/>
    </xf>
    <xf numFmtId="189" fontId="10" fillId="0" borderId="149" xfId="47" applyNumberFormat="1" applyFont="1" applyBorder="1" applyAlignment="1">
      <alignment vertical="center"/>
    </xf>
    <xf numFmtId="3" fontId="10" fillId="0" borderId="147" xfId="47" applyNumberFormat="1" applyFont="1" applyBorder="1" applyAlignment="1">
      <alignment vertical="center"/>
    </xf>
    <xf numFmtId="3" fontId="10" fillId="0" borderId="150" xfId="47" applyNumberFormat="1" applyFont="1" applyBorder="1" applyAlignment="1">
      <alignment vertical="center"/>
    </xf>
    <xf numFmtId="189" fontId="10" fillId="0" borderId="151" xfId="47" applyNumberFormat="1" applyFont="1" applyBorder="1" applyAlignment="1">
      <alignment vertical="center"/>
    </xf>
    <xf numFmtId="3" fontId="10" fillId="0" borderId="152" xfId="47" applyNumberFormat="1" applyFont="1" applyBorder="1" applyAlignment="1">
      <alignment vertical="center"/>
    </xf>
    <xf numFmtId="189" fontId="10" fillId="0" borderId="153" xfId="47" applyNumberFormat="1" applyFont="1" applyBorder="1" applyAlignment="1">
      <alignment vertical="center"/>
    </xf>
    <xf numFmtId="3" fontId="10" fillId="9" borderId="155" xfId="47" applyNumberFormat="1" applyFont="1" applyFill="1" applyBorder="1" applyAlignment="1">
      <alignment horizontal="center" vertical="center"/>
    </xf>
    <xf numFmtId="3" fontId="10" fillId="0" borderId="156" xfId="47" applyNumberFormat="1" applyFont="1" applyBorder="1" applyAlignment="1">
      <alignment vertical="center"/>
    </xf>
    <xf numFmtId="177" fontId="10" fillId="0" borderId="157" xfId="47" applyNumberFormat="1" applyFont="1" applyBorder="1" applyAlignment="1">
      <alignment vertical="center"/>
    </xf>
    <xf numFmtId="3" fontId="10" fillId="0" borderId="158" xfId="47" applyNumberFormat="1" applyFont="1" applyBorder="1" applyAlignment="1">
      <alignment vertical="center"/>
    </xf>
    <xf numFmtId="189" fontId="10" fillId="0" borderId="159" xfId="47" applyNumberFormat="1" applyFont="1" applyBorder="1" applyAlignment="1">
      <alignment vertical="center"/>
    </xf>
    <xf numFmtId="3" fontId="10" fillId="0" borderId="157" xfId="47" applyNumberFormat="1" applyFont="1" applyBorder="1" applyAlignment="1">
      <alignment vertical="center"/>
    </xf>
    <xf numFmtId="3" fontId="10" fillId="0" borderId="160" xfId="47" applyNumberFormat="1" applyFont="1" applyBorder="1" applyAlignment="1">
      <alignment vertical="center"/>
    </xf>
    <xf numFmtId="189" fontId="10" fillId="0" borderId="161" xfId="47" applyNumberFormat="1" applyFont="1" applyBorder="1" applyAlignment="1">
      <alignment vertical="center"/>
    </xf>
    <xf numFmtId="3" fontId="10" fillId="0" borderId="162" xfId="47" applyNumberFormat="1" applyFont="1" applyBorder="1" applyAlignment="1">
      <alignment vertical="center"/>
    </xf>
    <xf numFmtId="189" fontId="10" fillId="0" borderId="163" xfId="47" applyNumberFormat="1" applyFont="1" applyBorder="1" applyAlignment="1">
      <alignment vertical="center"/>
    </xf>
    <xf numFmtId="3" fontId="10" fillId="9" borderId="165" xfId="47" applyNumberFormat="1" applyFont="1" applyFill="1" applyBorder="1" applyAlignment="1">
      <alignment horizontal="center" vertical="center"/>
    </xf>
    <xf numFmtId="3" fontId="10" fillId="0" borderId="137" xfId="47" applyNumberFormat="1" applyFont="1" applyBorder="1" applyAlignment="1">
      <alignment vertical="center"/>
    </xf>
    <xf numFmtId="177" fontId="10" fillId="0" borderId="138" xfId="47" applyNumberFormat="1" applyFont="1" applyBorder="1" applyAlignment="1">
      <alignment vertical="center"/>
    </xf>
    <xf numFmtId="3" fontId="10" fillId="0" borderId="139" xfId="47" applyNumberFormat="1" applyFont="1" applyBorder="1" applyAlignment="1">
      <alignment vertical="center"/>
    </xf>
    <xf numFmtId="189" fontId="10" fillId="0" borderId="140" xfId="47" applyNumberFormat="1" applyFont="1" applyBorder="1" applyAlignment="1">
      <alignment vertical="center"/>
    </xf>
    <xf numFmtId="3" fontId="10" fillId="0" borderId="138" xfId="47" applyNumberFormat="1" applyFont="1" applyBorder="1" applyAlignment="1">
      <alignment vertical="center"/>
    </xf>
    <xf numFmtId="3" fontId="10" fillId="0" borderId="166" xfId="47" applyNumberFormat="1" applyFont="1" applyBorder="1" applyAlignment="1">
      <alignment vertical="center"/>
    </xf>
    <xf numFmtId="189" fontId="10" fillId="0" borderId="167" xfId="47" applyNumberFormat="1" applyFont="1" applyBorder="1" applyAlignment="1">
      <alignment vertical="center"/>
    </xf>
    <xf numFmtId="3" fontId="10" fillId="0" borderId="141" xfId="47" applyNumberFormat="1" applyFont="1" applyBorder="1" applyAlignment="1">
      <alignment vertical="center"/>
    </xf>
    <xf numFmtId="189" fontId="10" fillId="0" borderId="142" xfId="47" applyNumberFormat="1" applyFont="1" applyBorder="1" applyAlignment="1">
      <alignment vertical="center"/>
    </xf>
    <xf numFmtId="3" fontId="10" fillId="9" borderId="326" xfId="47" applyNumberFormat="1" applyFont="1" applyFill="1" applyBorder="1" applyAlignment="1">
      <alignment horizontal="center" vertical="center"/>
    </xf>
    <xf numFmtId="3" fontId="10" fillId="0" borderId="329" xfId="47" applyNumberFormat="1" applyFont="1" applyBorder="1" applyAlignment="1">
      <alignment vertical="center"/>
    </xf>
    <xf numFmtId="177" fontId="10" fillId="0" borderId="215" xfId="47" applyNumberFormat="1" applyFont="1" applyBorder="1" applyAlignment="1">
      <alignment vertical="center"/>
    </xf>
    <xf numFmtId="189" fontId="10" fillId="0" borderId="214" xfId="47" applyNumberFormat="1" applyFont="1" applyBorder="1" applyAlignment="1">
      <alignment vertical="center"/>
    </xf>
    <xf numFmtId="3" fontId="10" fillId="0" borderId="211" xfId="47" applyNumberFormat="1" applyFont="1" applyBorder="1" applyAlignment="1">
      <alignment vertical="center"/>
    </xf>
    <xf numFmtId="3" fontId="10" fillId="0" borderId="392" xfId="47" applyNumberFormat="1" applyFont="1" applyBorder="1" applyAlignment="1">
      <alignment vertical="center"/>
    </xf>
    <xf numFmtId="177" fontId="10" fillId="0" borderId="211" xfId="47" applyNumberFormat="1" applyFont="1" applyBorder="1" applyAlignment="1">
      <alignment vertical="center"/>
    </xf>
    <xf numFmtId="3" fontId="10" fillId="0" borderId="213" xfId="47" applyNumberFormat="1" applyFont="1" applyBorder="1" applyAlignment="1">
      <alignment vertical="center"/>
    </xf>
    <xf numFmtId="189" fontId="10" fillId="0" borderId="213" xfId="47" applyNumberFormat="1" applyFont="1" applyBorder="1" applyAlignment="1">
      <alignment vertical="center"/>
    </xf>
    <xf numFmtId="38" fontId="10" fillId="0" borderId="223" xfId="8" applyFont="1" applyFill="1" applyBorder="1" applyAlignment="1">
      <alignment horizontal="center" vertical="center"/>
    </xf>
    <xf numFmtId="3" fontId="10" fillId="4" borderId="51" xfId="47" applyNumberFormat="1" applyFont="1" applyFill="1" applyBorder="1" applyAlignment="1">
      <alignment horizontal="center" vertical="center"/>
    </xf>
    <xf numFmtId="3" fontId="10" fillId="8" borderId="55" xfId="47" applyNumberFormat="1" applyFont="1" applyFill="1" applyBorder="1" applyAlignment="1">
      <alignment vertical="center"/>
    </xf>
    <xf numFmtId="177" fontId="10" fillId="8" borderId="200" xfId="47" applyNumberFormat="1" applyFont="1" applyFill="1" applyBorder="1" applyAlignment="1">
      <alignment vertical="center"/>
    </xf>
    <xf numFmtId="3" fontId="10" fillId="8" borderId="47" xfId="47" applyNumberFormat="1" applyFont="1" applyFill="1" applyBorder="1" applyAlignment="1">
      <alignment vertical="center"/>
    </xf>
    <xf numFmtId="189" fontId="10" fillId="8" borderId="202" xfId="47" applyNumberFormat="1" applyFont="1" applyFill="1" applyBorder="1" applyAlignment="1">
      <alignment vertical="center"/>
    </xf>
    <xf numFmtId="3" fontId="10" fillId="8" borderId="200" xfId="47" applyNumberFormat="1" applyFont="1" applyFill="1" applyBorder="1" applyAlignment="1">
      <alignment vertical="center"/>
    </xf>
    <xf numFmtId="3" fontId="10" fillId="8" borderId="202" xfId="47" applyNumberFormat="1" applyFont="1" applyFill="1" applyBorder="1" applyAlignment="1">
      <alignment vertical="center"/>
    </xf>
    <xf numFmtId="189" fontId="10" fillId="8" borderId="151" xfId="47" applyNumberFormat="1" applyFont="1" applyFill="1" applyBorder="1" applyAlignment="1">
      <alignment vertical="center"/>
    </xf>
    <xf numFmtId="189" fontId="10" fillId="8" borderId="201" xfId="47" applyNumberFormat="1" applyFont="1" applyFill="1" applyBorder="1" applyAlignment="1">
      <alignment vertical="center"/>
    </xf>
    <xf numFmtId="38" fontId="10" fillId="8" borderId="154" xfId="8" applyFont="1" applyFill="1" applyBorder="1" applyAlignment="1">
      <alignment horizontal="center" vertical="center"/>
    </xf>
    <xf numFmtId="3" fontId="32" fillId="0" borderId="0" xfId="47" applyNumberFormat="1" applyFont="1" applyAlignment="1">
      <alignment horizontal="left" vertical="center"/>
    </xf>
    <xf numFmtId="3" fontId="34" fillId="0" borderId="0" xfId="48" applyNumberFormat="1" applyFont="1" applyAlignment="1">
      <alignment vertical="center"/>
    </xf>
    <xf numFmtId="3" fontId="17" fillId="0" borderId="0" xfId="48" applyNumberFormat="1" applyFont="1" applyAlignment="1">
      <alignment vertical="center"/>
    </xf>
    <xf numFmtId="3" fontId="17" fillId="0" borderId="0" xfId="48" applyNumberFormat="1" applyFont="1" applyAlignment="1">
      <alignment horizontal="center"/>
    </xf>
    <xf numFmtId="3" fontId="17" fillId="0" borderId="0" xfId="48" applyNumberFormat="1" applyFont="1" applyAlignment="1">
      <alignment horizontal="center" vertical="center"/>
    </xf>
    <xf numFmtId="3" fontId="17" fillId="2" borderId="0" xfId="48" applyNumberFormat="1" applyFont="1" applyFill="1" applyAlignment="1">
      <alignment vertical="center"/>
    </xf>
    <xf numFmtId="3" fontId="17" fillId="4" borderId="169" xfId="48" applyNumberFormat="1" applyFont="1" applyFill="1" applyBorder="1" applyAlignment="1">
      <alignment horizontal="center" vertical="center"/>
    </xf>
    <xf numFmtId="3" fontId="17" fillId="4" borderId="169" xfId="48" applyNumberFormat="1" applyFont="1" applyFill="1" applyBorder="1" applyAlignment="1">
      <alignment horizontal="center" vertical="center" wrapText="1"/>
    </xf>
    <xf numFmtId="3" fontId="17" fillId="4" borderId="78" xfId="48" applyNumberFormat="1" applyFont="1" applyFill="1" applyBorder="1" applyAlignment="1">
      <alignment horizontal="center" vertical="center" wrapText="1"/>
    </xf>
    <xf numFmtId="3" fontId="17" fillId="4" borderId="79" xfId="48" applyNumberFormat="1" applyFont="1" applyFill="1" applyBorder="1" applyAlignment="1">
      <alignment horizontal="center" vertical="center"/>
    </xf>
    <xf numFmtId="3" fontId="17" fillId="4" borderId="80" xfId="48" applyNumberFormat="1" applyFont="1" applyFill="1" applyBorder="1" applyAlignment="1">
      <alignment horizontal="center" vertical="center"/>
    </xf>
    <xf numFmtId="3" fontId="17" fillId="4" borderId="170" xfId="48" applyNumberFormat="1" applyFont="1" applyFill="1" applyBorder="1" applyAlignment="1">
      <alignment horizontal="center" vertical="center" wrapText="1"/>
    </xf>
    <xf numFmtId="3" fontId="17" fillId="4" borderId="171" xfId="48" applyNumberFormat="1" applyFont="1" applyFill="1" applyBorder="1" applyAlignment="1">
      <alignment horizontal="center" vertical="center"/>
    </xf>
    <xf numFmtId="3" fontId="17" fillId="4" borderId="172" xfId="48" applyNumberFormat="1" applyFont="1" applyFill="1" applyBorder="1" applyAlignment="1">
      <alignment horizontal="center" vertical="center"/>
    </xf>
    <xf numFmtId="3" fontId="17" fillId="4" borderId="173" xfId="48" applyNumberFormat="1" applyFont="1" applyFill="1" applyBorder="1" applyAlignment="1">
      <alignment horizontal="center" vertical="center"/>
    </xf>
    <xf numFmtId="3" fontId="17" fillId="4" borderId="174" xfId="48" applyNumberFormat="1" applyFont="1" applyFill="1" applyBorder="1" applyAlignment="1">
      <alignment horizontal="center" vertical="center"/>
    </xf>
    <xf numFmtId="3" fontId="17" fillId="4" borderId="175" xfId="48" applyNumberFormat="1" applyFont="1" applyFill="1" applyBorder="1" applyAlignment="1">
      <alignment horizontal="center" vertical="center" wrapText="1"/>
    </xf>
    <xf numFmtId="3" fontId="17" fillId="4" borderId="173" xfId="48" applyNumberFormat="1" applyFont="1" applyFill="1" applyBorder="1" applyAlignment="1">
      <alignment horizontal="center" vertical="center" wrapText="1"/>
    </xf>
    <xf numFmtId="3" fontId="17" fillId="4" borderId="176" xfId="48" applyNumberFormat="1" applyFont="1" applyFill="1" applyBorder="1" applyAlignment="1">
      <alignment horizontal="center" vertical="center" wrapText="1"/>
    </xf>
    <xf numFmtId="3" fontId="17" fillId="4" borderId="174" xfId="48" applyNumberFormat="1" applyFont="1" applyFill="1" applyBorder="1" applyAlignment="1">
      <alignment horizontal="center" vertical="center" wrapText="1"/>
    </xf>
    <xf numFmtId="3" fontId="17" fillId="4" borderId="177" xfId="48" applyNumberFormat="1" applyFont="1" applyFill="1" applyBorder="1" applyAlignment="1">
      <alignment horizontal="center" vertical="center" wrapText="1"/>
    </xf>
    <xf numFmtId="3" fontId="35" fillId="5" borderId="178" xfId="48" applyNumberFormat="1" applyFont="1" applyFill="1" applyBorder="1" applyAlignment="1">
      <alignment horizontal="distributed" vertical="center" wrapText="1" indent="1"/>
    </xf>
    <xf numFmtId="3" fontId="35" fillId="0" borderId="178" xfId="48" applyNumberFormat="1" applyFont="1" applyBorder="1" applyAlignment="1">
      <alignment horizontal="right" vertical="center" wrapText="1"/>
    </xf>
    <xf numFmtId="3" fontId="35" fillId="0" borderId="179" xfId="48" applyNumberFormat="1" applyFont="1" applyBorder="1" applyAlignment="1">
      <alignment horizontal="right" vertical="center" wrapText="1"/>
    </xf>
    <xf numFmtId="3" fontId="35" fillId="0" borderId="180" xfId="48" applyNumberFormat="1" applyFont="1" applyBorder="1" applyAlignment="1">
      <alignment horizontal="right" vertical="center" wrapText="1"/>
    </xf>
    <xf numFmtId="37" fontId="35" fillId="0" borderId="180" xfId="48" applyNumberFormat="1" applyFont="1" applyBorder="1" applyAlignment="1">
      <alignment horizontal="right" vertical="center" wrapText="1"/>
    </xf>
    <xf numFmtId="3" fontId="35" fillId="0" borderId="181" xfId="48" applyNumberFormat="1" applyFont="1" applyBorder="1" applyAlignment="1">
      <alignment horizontal="right" vertical="center" wrapText="1"/>
    </xf>
    <xf numFmtId="188" fontId="17" fillId="0" borderId="182" xfId="48" applyNumberFormat="1" applyFont="1" applyBorder="1" applyAlignment="1">
      <alignment horizontal="center" vertical="center"/>
    </xf>
    <xf numFmtId="3" fontId="17" fillId="0" borderId="161" xfId="48" applyNumberFormat="1" applyFont="1" applyBorder="1" applyAlignment="1">
      <alignment vertical="center"/>
    </xf>
    <xf numFmtId="3" fontId="17" fillId="0" borderId="179" xfId="48" applyNumberFormat="1" applyFont="1" applyBorder="1" applyAlignment="1">
      <alignment vertical="center"/>
    </xf>
    <xf numFmtId="3" fontId="17" fillId="0" borderId="180" xfId="48" applyNumberFormat="1" applyFont="1" applyBorder="1" applyAlignment="1">
      <alignment vertical="center"/>
    </xf>
    <xf numFmtId="3" fontId="17" fillId="0" borderId="183" xfId="48" applyNumberFormat="1" applyFont="1" applyBorder="1" applyAlignment="1">
      <alignment vertical="center"/>
    </xf>
    <xf numFmtId="3" fontId="35" fillId="5" borderId="184" xfId="48" applyNumberFormat="1" applyFont="1" applyFill="1" applyBorder="1" applyAlignment="1">
      <alignment horizontal="distributed" vertical="center" wrapText="1" indent="1"/>
    </xf>
    <xf numFmtId="3" fontId="35" fillId="0" borderId="184" xfId="48" applyNumberFormat="1" applyFont="1" applyBorder="1" applyAlignment="1">
      <alignment horizontal="right" vertical="center" wrapText="1"/>
    </xf>
    <xf numFmtId="3" fontId="35" fillId="0" borderId="185" xfId="48" applyNumberFormat="1" applyFont="1" applyBorder="1" applyAlignment="1">
      <alignment horizontal="right" vertical="center" wrapText="1"/>
    </xf>
    <xf numFmtId="3" fontId="35" fillId="0" borderId="186" xfId="48" applyNumberFormat="1" applyFont="1" applyBorder="1" applyAlignment="1">
      <alignment horizontal="right" vertical="center" wrapText="1"/>
    </xf>
    <xf numFmtId="37" fontId="35" fillId="0" borderId="186" xfId="48" applyNumberFormat="1" applyFont="1" applyBorder="1" applyAlignment="1">
      <alignment horizontal="right" vertical="center" wrapText="1"/>
    </xf>
    <xf numFmtId="3" fontId="35" fillId="0" borderId="167" xfId="48" applyNumberFormat="1" applyFont="1" applyBorder="1" applyAlignment="1">
      <alignment horizontal="right" vertical="center" wrapText="1"/>
    </xf>
    <xf numFmtId="188" fontId="17" fillId="0" borderId="187" xfId="48" applyNumberFormat="1" applyFont="1" applyBorder="1" applyAlignment="1">
      <alignment horizontal="center" vertical="center"/>
    </xf>
    <xf numFmtId="3" fontId="17" fillId="0" borderId="167" xfId="48" applyNumberFormat="1" applyFont="1" applyBorder="1" applyAlignment="1">
      <alignment vertical="center"/>
    </xf>
    <xf numFmtId="3" fontId="17" fillId="0" borderId="185" xfId="48" applyNumberFormat="1" applyFont="1" applyBorder="1" applyAlignment="1">
      <alignment vertical="center"/>
    </xf>
    <xf numFmtId="3" fontId="17" fillId="0" borderId="186" xfId="48" applyNumberFormat="1" applyFont="1" applyBorder="1" applyAlignment="1">
      <alignment vertical="center"/>
    </xf>
    <xf numFmtId="3" fontId="17" fillId="0" borderId="188" xfId="48" applyNumberFormat="1" applyFont="1" applyBorder="1" applyAlignment="1">
      <alignment vertical="center"/>
    </xf>
    <xf numFmtId="3" fontId="35" fillId="8" borderId="184" xfId="48" applyNumberFormat="1" applyFont="1" applyFill="1" applyBorder="1" applyAlignment="1">
      <alignment horizontal="distributed" vertical="center" wrapText="1" indent="1"/>
    </xf>
    <xf numFmtId="3" fontId="35" fillId="8" borderId="184" xfId="48" applyNumberFormat="1" applyFont="1" applyFill="1" applyBorder="1" applyAlignment="1">
      <alignment horizontal="right" vertical="center" wrapText="1"/>
    </xf>
    <xf numFmtId="3" fontId="35" fillId="8" borderId="185" xfId="48" applyNumberFormat="1" applyFont="1" applyFill="1" applyBorder="1" applyAlignment="1">
      <alignment horizontal="right" vertical="center" wrapText="1"/>
    </xf>
    <xf numFmtId="3" fontId="35" fillId="8" borderId="186" xfId="48" applyNumberFormat="1" applyFont="1" applyFill="1" applyBorder="1" applyAlignment="1">
      <alignment horizontal="right" vertical="center" wrapText="1"/>
    </xf>
    <xf numFmtId="37" fontId="35" fillId="8" borderId="186" xfId="48" applyNumberFormat="1" applyFont="1" applyFill="1" applyBorder="1" applyAlignment="1">
      <alignment horizontal="right" vertical="center" wrapText="1"/>
    </xf>
    <xf numFmtId="3" fontId="35" fillId="8" borderId="167" xfId="48" applyNumberFormat="1" applyFont="1" applyFill="1" applyBorder="1" applyAlignment="1">
      <alignment horizontal="right" vertical="center" wrapText="1"/>
    </xf>
    <xf numFmtId="188" fontId="17" fillId="8" borderId="187" xfId="48" applyNumberFormat="1" applyFont="1" applyFill="1" applyBorder="1" applyAlignment="1">
      <alignment horizontal="center" vertical="center"/>
    </xf>
    <xf numFmtId="3" fontId="17" fillId="8" borderId="167" xfId="48" applyNumberFormat="1" applyFont="1" applyFill="1" applyBorder="1" applyAlignment="1">
      <alignment vertical="center"/>
    </xf>
    <xf numFmtId="3" fontId="17" fillId="8" borderId="185" xfId="48" applyNumberFormat="1" applyFont="1" applyFill="1" applyBorder="1" applyAlignment="1">
      <alignment vertical="center"/>
    </xf>
    <xf numFmtId="3" fontId="17" fillId="8" borderId="186" xfId="48" applyNumberFormat="1" applyFont="1" applyFill="1" applyBorder="1" applyAlignment="1">
      <alignment vertical="center"/>
    </xf>
    <xf numFmtId="3" fontId="17" fillId="8" borderId="188" xfId="48" applyNumberFormat="1" applyFont="1" applyFill="1" applyBorder="1" applyAlignment="1">
      <alignment vertical="center"/>
    </xf>
    <xf numFmtId="3" fontId="35" fillId="2" borderId="186" xfId="48" applyNumberFormat="1" applyFont="1" applyFill="1" applyBorder="1" applyAlignment="1">
      <alignment horizontal="right" vertical="center" wrapText="1"/>
    </xf>
    <xf numFmtId="37" fontId="35" fillId="2" borderId="186" xfId="48" applyNumberFormat="1" applyFont="1" applyFill="1" applyBorder="1" applyAlignment="1">
      <alignment horizontal="right" vertical="center" wrapText="1"/>
    </xf>
    <xf numFmtId="3" fontId="35" fillId="5" borderId="189" xfId="48" applyNumberFormat="1" applyFont="1" applyFill="1" applyBorder="1" applyAlignment="1">
      <alignment horizontal="distributed" vertical="center" wrapText="1" indent="1"/>
    </xf>
    <xf numFmtId="3" fontId="35" fillId="0" borderId="189" xfId="48" applyNumberFormat="1" applyFont="1" applyBorder="1" applyAlignment="1">
      <alignment horizontal="right" vertical="center" wrapText="1"/>
    </xf>
    <xf numFmtId="3" fontId="35" fillId="0" borderId="190" xfId="48" applyNumberFormat="1" applyFont="1" applyBorder="1" applyAlignment="1">
      <alignment horizontal="right" vertical="center" wrapText="1"/>
    </xf>
    <xf numFmtId="3" fontId="35" fillId="0" borderId="191" xfId="48" applyNumberFormat="1" applyFont="1" applyBorder="1" applyAlignment="1">
      <alignment horizontal="right" vertical="center" wrapText="1"/>
    </xf>
    <xf numFmtId="37" fontId="35" fillId="0" borderId="191" xfId="48" applyNumberFormat="1" applyFont="1" applyBorder="1" applyAlignment="1">
      <alignment horizontal="right" vertical="center" wrapText="1"/>
    </xf>
    <xf numFmtId="3" fontId="35" fillId="0" borderId="164" xfId="48" applyNumberFormat="1" applyFont="1" applyBorder="1" applyAlignment="1">
      <alignment horizontal="right" vertical="center" wrapText="1"/>
    </xf>
    <xf numFmtId="188" fontId="17" fillId="0" borderId="185" xfId="48" applyNumberFormat="1" applyFont="1" applyBorder="1" applyAlignment="1">
      <alignment horizontal="center" vertical="center"/>
    </xf>
    <xf numFmtId="3" fontId="17" fillId="0" borderId="192" xfId="48" applyNumberFormat="1" applyFont="1" applyBorder="1" applyAlignment="1">
      <alignment vertical="center"/>
    </xf>
    <xf numFmtId="3" fontId="17" fillId="0" borderId="190" xfId="48" applyNumberFormat="1" applyFont="1" applyBorder="1" applyAlignment="1">
      <alignment vertical="center"/>
    </xf>
    <xf numFmtId="3" fontId="17" fillId="0" borderId="191" xfId="48" applyNumberFormat="1" applyFont="1" applyBorder="1" applyAlignment="1">
      <alignment vertical="center"/>
    </xf>
    <xf numFmtId="3" fontId="17" fillId="0" borderId="193" xfId="48" applyNumberFormat="1" applyFont="1" applyBorder="1" applyAlignment="1">
      <alignment vertical="center"/>
    </xf>
    <xf numFmtId="3" fontId="17" fillId="8" borderId="194" xfId="48" applyNumberFormat="1" applyFont="1" applyFill="1" applyBorder="1" applyAlignment="1">
      <alignment horizontal="center" vertical="center" wrapText="1"/>
    </xf>
    <xf numFmtId="3" fontId="17" fillId="8" borderId="194" xfId="48" applyNumberFormat="1" applyFont="1" applyFill="1" applyBorder="1" applyAlignment="1">
      <alignment horizontal="right" vertical="center" wrapText="1"/>
    </xf>
    <xf numFmtId="3" fontId="17" fillId="8" borderId="195" xfId="48" applyNumberFormat="1" applyFont="1" applyFill="1" applyBorder="1" applyAlignment="1">
      <alignment horizontal="right" vertical="center" wrapText="1"/>
    </xf>
    <xf numFmtId="3" fontId="17" fillId="8" borderId="196" xfId="48" applyNumberFormat="1" applyFont="1" applyFill="1" applyBorder="1" applyAlignment="1">
      <alignment horizontal="right" vertical="center" wrapText="1"/>
    </xf>
    <xf numFmtId="3" fontId="17" fillId="8" borderId="197" xfId="48" applyNumberFormat="1" applyFont="1" applyFill="1" applyBorder="1" applyAlignment="1">
      <alignment horizontal="right" vertical="center" wrapText="1"/>
    </xf>
    <xf numFmtId="188" fontId="17" fillId="8" borderId="195" xfId="48" applyNumberFormat="1" applyFont="1" applyFill="1" applyBorder="1" applyAlignment="1">
      <alignment horizontal="center" vertical="center"/>
    </xf>
    <xf numFmtId="3" fontId="17" fillId="8" borderId="198" xfId="48" applyNumberFormat="1" applyFont="1" applyFill="1" applyBorder="1" applyAlignment="1">
      <alignment horizontal="center" vertical="center"/>
    </xf>
    <xf numFmtId="3" fontId="17" fillId="8" borderId="195" xfId="48" applyNumberFormat="1" applyFont="1" applyFill="1" applyBorder="1" applyAlignment="1">
      <alignment vertical="center"/>
    </xf>
    <xf numFmtId="3" fontId="17" fillId="8" borderId="196" xfId="48" applyNumberFormat="1" applyFont="1" applyFill="1" applyBorder="1" applyAlignment="1">
      <alignment vertical="center"/>
    </xf>
    <xf numFmtId="3" fontId="17" fillId="8" borderId="199" xfId="48" applyNumberFormat="1" applyFont="1" applyFill="1" applyBorder="1" applyAlignment="1">
      <alignment vertical="center"/>
    </xf>
    <xf numFmtId="3" fontId="17" fillId="8" borderId="198" xfId="48" applyNumberFormat="1" applyFont="1" applyFill="1" applyBorder="1" applyAlignment="1">
      <alignment vertical="center"/>
    </xf>
    <xf numFmtId="3" fontId="17" fillId="5" borderId="55" xfId="48" applyNumberFormat="1" applyFont="1" applyFill="1" applyBorder="1" applyAlignment="1">
      <alignment horizontal="center" vertical="center" wrapText="1"/>
    </xf>
    <xf numFmtId="3" fontId="17" fillId="0" borderId="55" xfId="48" applyNumberFormat="1" applyFont="1" applyBorder="1" applyAlignment="1">
      <alignment horizontal="right" vertical="center" wrapText="1"/>
    </xf>
    <xf numFmtId="3" fontId="17" fillId="0" borderId="200" xfId="48" applyNumberFormat="1" applyFont="1" applyBorder="1" applyAlignment="1">
      <alignment horizontal="right" vertical="center" wrapText="1"/>
    </xf>
    <xf numFmtId="3" fontId="17" fillId="0" borderId="201" xfId="48" applyNumberFormat="1" applyFont="1" applyBorder="1" applyAlignment="1">
      <alignment horizontal="right" vertical="center" wrapText="1"/>
    </xf>
    <xf numFmtId="3" fontId="17" fillId="0" borderId="154" xfId="48" applyNumberFormat="1" applyFont="1" applyBorder="1" applyAlignment="1">
      <alignment horizontal="right" vertical="center" wrapText="1"/>
    </xf>
    <xf numFmtId="188" fontId="17" fillId="0" borderId="200" xfId="48" applyNumberFormat="1" applyFont="1" applyBorder="1" applyAlignment="1">
      <alignment horizontal="center" vertical="center"/>
    </xf>
    <xf numFmtId="3" fontId="17" fillId="0" borderId="151" xfId="48" applyNumberFormat="1" applyFont="1" applyBorder="1" applyAlignment="1">
      <alignment horizontal="center" vertical="center"/>
    </xf>
    <xf numFmtId="3" fontId="17" fillId="0" borderId="200" xfId="48" applyNumberFormat="1" applyFont="1" applyBorder="1" applyAlignment="1">
      <alignment vertical="center"/>
    </xf>
    <xf numFmtId="3" fontId="17" fillId="0" borderId="201" xfId="48" applyNumberFormat="1" applyFont="1" applyBorder="1" applyAlignment="1">
      <alignment vertical="center"/>
    </xf>
    <xf numFmtId="3" fontId="17" fillId="0" borderId="202" xfId="48" applyNumberFormat="1" applyFont="1" applyBorder="1" applyAlignment="1">
      <alignment vertical="center"/>
    </xf>
    <xf numFmtId="3" fontId="17" fillId="0" borderId="151" xfId="48" applyNumberFormat="1" applyFont="1" applyBorder="1" applyAlignment="1">
      <alignment vertical="center"/>
    </xf>
    <xf numFmtId="3" fontId="35" fillId="0" borderId="0" xfId="10" applyNumberFormat="1" applyFont="1" applyAlignment="1">
      <alignment horizontal="left" vertical="center"/>
    </xf>
    <xf numFmtId="3" fontId="25" fillId="0" borderId="0" xfId="10" applyNumberFormat="1" applyFont="1" applyAlignment="1">
      <alignment vertical="center"/>
    </xf>
    <xf numFmtId="3" fontId="37" fillId="0" borderId="0" xfId="10" applyNumberFormat="1" applyFont="1" applyAlignment="1">
      <alignment vertical="center"/>
    </xf>
    <xf numFmtId="3" fontId="25" fillId="4" borderId="28" xfId="10" applyNumberFormat="1" applyFont="1" applyFill="1" applyBorder="1" applyAlignment="1">
      <alignment horizontal="center" vertical="center" wrapText="1"/>
    </xf>
    <xf numFmtId="3" fontId="25" fillId="4" borderId="56" xfId="10" applyNumberFormat="1" applyFont="1" applyFill="1" applyBorder="1" applyAlignment="1">
      <alignment horizontal="center" vertical="center"/>
    </xf>
    <xf numFmtId="3" fontId="25" fillId="4" borderId="45" xfId="10" applyNumberFormat="1" applyFont="1" applyFill="1" applyBorder="1" applyAlignment="1">
      <alignment horizontal="center" vertical="center"/>
    </xf>
    <xf numFmtId="3" fontId="25" fillId="4" borderId="59" xfId="10" applyNumberFormat="1" applyFont="1" applyFill="1" applyBorder="1" applyAlignment="1">
      <alignment horizontal="center" vertical="center"/>
    </xf>
    <xf numFmtId="3" fontId="25" fillId="4" borderId="2" xfId="10" applyNumberFormat="1" applyFont="1" applyFill="1" applyBorder="1" applyAlignment="1">
      <alignment horizontal="center" vertical="center"/>
    </xf>
    <xf numFmtId="3" fontId="25" fillId="4" borderId="3" xfId="10" applyNumberFormat="1" applyFont="1" applyFill="1" applyBorder="1" applyAlignment="1">
      <alignment horizontal="center" vertical="center"/>
    </xf>
    <xf numFmtId="3" fontId="25" fillId="4" borderId="4" xfId="10" applyNumberFormat="1" applyFont="1" applyFill="1" applyBorder="1" applyAlignment="1">
      <alignment horizontal="center" vertical="center"/>
    </xf>
    <xf numFmtId="3" fontId="25" fillId="4" borderId="28" xfId="10" applyNumberFormat="1" applyFont="1" applyFill="1" applyBorder="1" applyAlignment="1">
      <alignment horizontal="center" vertical="center"/>
    </xf>
    <xf numFmtId="3" fontId="25" fillId="0" borderId="50" xfId="10" applyNumberFormat="1" applyFont="1" applyBorder="1" applyAlignment="1">
      <alignment horizontal="center" vertical="center"/>
    </xf>
    <xf numFmtId="3" fontId="37" fillId="0" borderId="0" xfId="10" applyNumberFormat="1" applyFont="1" applyAlignment="1">
      <alignment horizontal="center" vertical="center"/>
    </xf>
    <xf numFmtId="3" fontId="25" fillId="4" borderId="53" xfId="10" applyNumberFormat="1" applyFont="1" applyFill="1" applyBorder="1" applyAlignment="1">
      <alignment horizontal="center" vertical="center"/>
    </xf>
    <xf numFmtId="3" fontId="25" fillId="4" borderId="53" xfId="10" applyNumberFormat="1" applyFont="1" applyFill="1" applyBorder="1" applyAlignment="1">
      <alignment horizontal="center" vertical="center" wrapText="1"/>
    </xf>
    <xf numFmtId="3" fontId="25" fillId="4" borderId="51" xfId="10" applyNumberFormat="1" applyFont="1" applyFill="1" applyBorder="1" applyAlignment="1">
      <alignment horizontal="center" vertical="center"/>
    </xf>
    <xf numFmtId="3" fontId="25" fillId="4" borderId="47" xfId="10" applyNumberFormat="1" applyFont="1" applyFill="1" applyBorder="1" applyAlignment="1">
      <alignment horizontal="center" vertical="center"/>
    </xf>
    <xf numFmtId="3" fontId="25" fillId="4" borderId="154" xfId="10" applyNumberFormat="1" applyFont="1" applyFill="1" applyBorder="1" applyAlignment="1">
      <alignment horizontal="center" vertical="center"/>
    </xf>
    <xf numFmtId="3" fontId="25" fillId="4" borderId="203" xfId="10" applyNumberFormat="1" applyFont="1" applyFill="1" applyBorder="1" applyAlignment="1">
      <alignment horizontal="center" vertical="center"/>
    </xf>
    <xf numFmtId="3" fontId="25" fillId="4" borderId="204" xfId="10" applyNumberFormat="1" applyFont="1" applyFill="1" applyBorder="1" applyAlignment="1">
      <alignment horizontal="center" vertical="center"/>
    </xf>
    <xf numFmtId="3" fontId="25" fillId="4" borderId="204" xfId="10" applyNumberFormat="1" applyFont="1" applyFill="1" applyBorder="1" applyAlignment="1">
      <alignment horizontal="center" vertical="center" wrapText="1"/>
    </xf>
    <xf numFmtId="3" fontId="25" fillId="4" borderId="181" xfId="10" applyNumberFormat="1" applyFont="1" applyFill="1" applyBorder="1" applyAlignment="1">
      <alignment horizontal="center" vertical="center" wrapText="1"/>
    </xf>
    <xf numFmtId="3" fontId="5" fillId="4" borderId="203" xfId="10" applyNumberFormat="1" applyFont="1" applyFill="1" applyBorder="1" applyAlignment="1">
      <alignment horizontal="center" vertical="center"/>
    </xf>
    <xf numFmtId="3" fontId="5" fillId="4" borderId="204" xfId="10" quotePrefix="1" applyNumberFormat="1" applyFont="1" applyFill="1" applyBorder="1" applyAlignment="1">
      <alignment horizontal="center" vertical="center" wrapText="1"/>
    </xf>
    <xf numFmtId="3" fontId="5" fillId="4" borderId="181" xfId="10" quotePrefix="1" applyNumberFormat="1" applyFont="1" applyFill="1" applyBorder="1" applyAlignment="1">
      <alignment horizontal="center" vertical="center" wrapText="1"/>
    </xf>
    <xf numFmtId="3" fontId="5" fillId="8" borderId="181" xfId="10" quotePrefix="1" applyNumberFormat="1" applyFont="1" applyFill="1" applyBorder="1" applyAlignment="1">
      <alignment horizontal="center" vertical="center" wrapText="1"/>
    </xf>
    <xf numFmtId="3" fontId="25" fillId="4" borderId="203" xfId="10" quotePrefix="1" applyNumberFormat="1" applyFont="1" applyFill="1" applyBorder="1" applyAlignment="1">
      <alignment horizontal="center" vertical="center"/>
    </xf>
    <xf numFmtId="3" fontId="25" fillId="4" borderId="204" xfId="10" quotePrefix="1" applyNumberFormat="1" applyFont="1" applyFill="1" applyBorder="1" applyAlignment="1">
      <alignment horizontal="center" vertical="center"/>
    </xf>
    <xf numFmtId="3" fontId="5" fillId="4" borderId="203" xfId="10" applyNumberFormat="1" applyFont="1" applyFill="1" applyBorder="1" applyAlignment="1">
      <alignment horizontal="center" vertical="center" wrapText="1"/>
    </xf>
    <xf numFmtId="3" fontId="5" fillId="4" borderId="204" xfId="10" applyNumberFormat="1" applyFont="1" applyFill="1" applyBorder="1" applyAlignment="1">
      <alignment horizontal="center" vertical="center" wrapText="1"/>
    </xf>
    <xf numFmtId="3" fontId="5" fillId="4" borderId="181" xfId="10" applyNumberFormat="1" applyFont="1" applyFill="1" applyBorder="1" applyAlignment="1">
      <alignment horizontal="center" vertical="center" wrapText="1"/>
    </xf>
    <xf numFmtId="3" fontId="25" fillId="4" borderId="205" xfId="10" applyNumberFormat="1" applyFont="1" applyFill="1" applyBorder="1" applyAlignment="1">
      <alignment horizontal="center" vertical="center"/>
    </xf>
    <xf numFmtId="3" fontId="25" fillId="4" borderId="206" xfId="10" applyNumberFormat="1" applyFont="1" applyFill="1" applyBorder="1" applyAlignment="1">
      <alignment horizontal="center" vertical="center"/>
    </xf>
    <xf numFmtId="3" fontId="25" fillId="4" borderId="207" xfId="10" applyNumberFormat="1" applyFont="1" applyFill="1" applyBorder="1" applyAlignment="1">
      <alignment horizontal="center" vertical="center"/>
    </xf>
    <xf numFmtId="3" fontId="5" fillId="4" borderId="205" xfId="10" applyNumberFormat="1" applyFont="1" applyFill="1" applyBorder="1" applyAlignment="1">
      <alignment horizontal="center" vertical="center"/>
    </xf>
    <xf numFmtId="3" fontId="5" fillId="4" borderId="206" xfId="10" quotePrefix="1" applyNumberFormat="1" applyFont="1" applyFill="1" applyBorder="1" applyAlignment="1">
      <alignment horizontal="center" vertical="center"/>
    </xf>
    <xf numFmtId="3" fontId="5" fillId="4" borderId="207" xfId="10" quotePrefix="1" applyNumberFormat="1" applyFont="1" applyFill="1" applyBorder="1" applyAlignment="1">
      <alignment horizontal="center" vertical="center"/>
    </xf>
    <xf numFmtId="3" fontId="5" fillId="8" borderId="207" xfId="10" quotePrefix="1" applyNumberFormat="1" applyFont="1" applyFill="1" applyBorder="1" applyAlignment="1">
      <alignment horizontal="center" vertical="center"/>
    </xf>
    <xf numFmtId="3" fontId="25" fillId="4" borderId="205" xfId="10" quotePrefix="1" applyNumberFormat="1" applyFont="1" applyFill="1" applyBorder="1" applyAlignment="1">
      <alignment horizontal="center" vertical="center"/>
    </xf>
    <xf numFmtId="3" fontId="25" fillId="4" borderId="206" xfId="10" quotePrefix="1" applyNumberFormat="1" applyFont="1" applyFill="1" applyBorder="1" applyAlignment="1">
      <alignment horizontal="center" vertical="center"/>
    </xf>
    <xf numFmtId="3" fontId="5" fillId="4" borderId="206" xfId="10" applyNumberFormat="1" applyFont="1" applyFill="1" applyBorder="1" applyAlignment="1">
      <alignment horizontal="center" vertical="center"/>
    </xf>
    <xf numFmtId="3" fontId="5" fillId="4" borderId="207" xfId="10" applyNumberFormat="1" applyFont="1" applyFill="1" applyBorder="1" applyAlignment="1">
      <alignment horizontal="center" vertical="center"/>
    </xf>
    <xf numFmtId="3" fontId="25" fillId="4" borderId="53" xfId="10" applyNumberFormat="1" applyFont="1" applyFill="1" applyBorder="1" applyAlignment="1">
      <alignment horizontal="center" vertical="center"/>
    </xf>
    <xf numFmtId="3" fontId="25" fillId="4" borderId="50" xfId="10" applyNumberFormat="1" applyFont="1" applyFill="1" applyBorder="1" applyAlignment="1">
      <alignment horizontal="center" vertical="center"/>
    </xf>
    <xf numFmtId="3" fontId="25" fillId="4" borderId="208" xfId="10" applyNumberFormat="1" applyFont="1" applyFill="1" applyBorder="1" applyAlignment="1">
      <alignment horizontal="center" vertical="center"/>
    </xf>
    <xf numFmtId="3" fontId="25" fillId="4" borderId="209" xfId="10" applyNumberFormat="1" applyFont="1" applyFill="1" applyBorder="1" applyAlignment="1">
      <alignment horizontal="center" vertical="center"/>
    </xf>
    <xf numFmtId="3" fontId="25" fillId="4" borderId="206" xfId="10" applyNumberFormat="1" applyFont="1" applyFill="1" applyBorder="1" applyAlignment="1">
      <alignment horizontal="center" vertical="center"/>
    </xf>
    <xf numFmtId="3" fontId="25" fillId="4" borderId="207" xfId="10" applyNumberFormat="1" applyFont="1" applyFill="1" applyBorder="1" applyAlignment="1">
      <alignment horizontal="center" vertical="center"/>
    </xf>
    <xf numFmtId="3" fontId="25" fillId="4" borderId="205" xfId="10" applyNumberFormat="1" applyFont="1" applyFill="1" applyBorder="1" applyAlignment="1">
      <alignment horizontal="center" vertical="center"/>
    </xf>
    <xf numFmtId="3" fontId="25" fillId="4" borderId="208" xfId="10" quotePrefix="1" applyNumberFormat="1" applyFont="1" applyFill="1" applyBorder="1" applyAlignment="1">
      <alignment horizontal="center" vertical="center"/>
    </xf>
    <xf numFmtId="3" fontId="25" fillId="4" borderId="209" xfId="10" quotePrefix="1" applyNumberFormat="1" applyFont="1" applyFill="1" applyBorder="1" applyAlignment="1">
      <alignment horizontal="center" vertical="center"/>
    </xf>
    <xf numFmtId="3" fontId="25" fillId="4" borderId="50" xfId="10" quotePrefix="1" applyNumberFormat="1" applyFont="1" applyFill="1" applyBorder="1" applyAlignment="1">
      <alignment horizontal="center" vertical="center"/>
    </xf>
    <xf numFmtId="3" fontId="25" fillId="4" borderId="55" xfId="10" applyNumberFormat="1" applyFont="1" applyFill="1" applyBorder="1" applyAlignment="1">
      <alignment horizontal="center" vertical="center"/>
    </xf>
    <xf numFmtId="3" fontId="25" fillId="4" borderId="154" xfId="10" applyNumberFormat="1" applyFont="1" applyFill="1" applyBorder="1" applyAlignment="1">
      <alignment horizontal="center" vertical="center"/>
    </xf>
    <xf numFmtId="3" fontId="25" fillId="4" borderId="51" xfId="10" applyNumberFormat="1" applyFont="1" applyFill="1" applyBorder="1" applyAlignment="1">
      <alignment horizontal="center" vertical="center"/>
    </xf>
    <xf numFmtId="3" fontId="25" fillId="4" borderId="210" xfId="10" applyNumberFormat="1" applyFont="1" applyFill="1" applyBorder="1" applyAlignment="1">
      <alignment horizontal="center" vertical="center"/>
    </xf>
    <xf numFmtId="3" fontId="25" fillId="4" borderId="201" xfId="10" applyNumberFormat="1" applyFont="1" applyFill="1" applyBorder="1" applyAlignment="1">
      <alignment horizontal="center" vertical="center"/>
    </xf>
    <xf numFmtId="3" fontId="25" fillId="4" borderId="151" xfId="10" applyNumberFormat="1" applyFont="1" applyFill="1" applyBorder="1" applyAlignment="1">
      <alignment horizontal="center" vertical="center"/>
    </xf>
    <xf numFmtId="3" fontId="25" fillId="4" borderId="51" xfId="10" quotePrefix="1" applyNumberFormat="1" applyFont="1" applyFill="1" applyBorder="1" applyAlignment="1">
      <alignment horizontal="center" vertical="center"/>
    </xf>
    <xf numFmtId="3" fontId="25" fillId="4" borderId="200" xfId="10" applyNumberFormat="1" applyFont="1" applyFill="1" applyBorder="1" applyAlignment="1">
      <alignment horizontal="center" vertical="center"/>
    </xf>
    <xf numFmtId="3" fontId="25" fillId="8" borderId="151" xfId="10" quotePrefix="1" applyNumberFormat="1" applyFont="1" applyFill="1" applyBorder="1" applyAlignment="1">
      <alignment horizontal="center" vertical="center"/>
    </xf>
    <xf numFmtId="3" fontId="25" fillId="4" borderId="154" xfId="10" quotePrefix="1" applyNumberFormat="1" applyFont="1" applyFill="1" applyBorder="1" applyAlignment="1">
      <alignment horizontal="center" vertical="center"/>
    </xf>
    <xf numFmtId="3" fontId="8" fillId="0" borderId="53" xfId="10" applyNumberFormat="1" applyFont="1" applyBorder="1" applyAlignment="1">
      <alignment horizontal="center" vertical="center"/>
    </xf>
    <xf numFmtId="3" fontId="25" fillId="0" borderId="50" xfId="10" applyNumberFormat="1" applyFont="1" applyBorder="1" applyAlignment="1">
      <alignment vertical="center"/>
    </xf>
    <xf numFmtId="3" fontId="25" fillId="0" borderId="211" xfId="10" applyNumberFormat="1" applyFont="1" applyBorder="1" applyAlignment="1">
      <alignment vertical="center"/>
    </xf>
    <xf numFmtId="191" fontId="25" fillId="0" borderId="212" xfId="10" applyNumberFormat="1" applyFont="1" applyBorder="1" applyAlignment="1">
      <alignment vertical="center"/>
    </xf>
    <xf numFmtId="3" fontId="25" fillId="0" borderId="213" xfId="10" applyNumberFormat="1" applyFont="1" applyBorder="1" applyAlignment="1">
      <alignment vertical="center"/>
    </xf>
    <xf numFmtId="3" fontId="25" fillId="0" borderId="214" xfId="10" applyNumberFormat="1" applyFont="1" applyBorder="1" applyAlignment="1">
      <alignment vertical="center"/>
    </xf>
    <xf numFmtId="3" fontId="25" fillId="0" borderId="215" xfId="10" applyNumberFormat="1" applyFont="1" applyBorder="1" applyAlignment="1">
      <alignment vertical="center"/>
    </xf>
    <xf numFmtId="3" fontId="25" fillId="0" borderId="208" xfId="10" applyNumberFormat="1" applyFont="1" applyBorder="1" applyAlignment="1">
      <alignment vertical="center"/>
    </xf>
    <xf numFmtId="3" fontId="25" fillId="0" borderId="209" xfId="10" applyNumberFormat="1" applyFont="1" applyBorder="1" applyAlignment="1">
      <alignment vertical="center"/>
    </xf>
    <xf numFmtId="3" fontId="25" fillId="0" borderId="206" xfId="10" applyNumberFormat="1" applyFont="1" applyBorder="1" applyAlignment="1">
      <alignment vertical="center"/>
    </xf>
    <xf numFmtId="3" fontId="25" fillId="0" borderId="207" xfId="10" applyNumberFormat="1" applyFont="1" applyBorder="1" applyAlignment="1">
      <alignment vertical="center"/>
    </xf>
    <xf numFmtId="188" fontId="25" fillId="0" borderId="50" xfId="10" applyNumberFormat="1" applyFont="1" applyBorder="1" applyAlignment="1">
      <alignment vertical="center"/>
    </xf>
    <xf numFmtId="3" fontId="25" fillId="0" borderId="216" xfId="10" applyNumberFormat="1" applyFont="1" applyBorder="1" applyAlignment="1">
      <alignment vertical="center"/>
    </xf>
    <xf numFmtId="191" fontId="25" fillId="0" borderId="187" xfId="10" applyNumberFormat="1" applyFont="1" applyBorder="1" applyAlignment="1">
      <alignment vertical="center"/>
    </xf>
    <xf numFmtId="3" fontId="25" fillId="0" borderId="186" xfId="10" applyNumberFormat="1" applyFont="1" applyBorder="1" applyAlignment="1">
      <alignment vertical="center"/>
    </xf>
    <xf numFmtId="3" fontId="25" fillId="0" borderId="167" xfId="10" applyNumberFormat="1" applyFont="1" applyBorder="1" applyAlignment="1">
      <alignment vertical="center"/>
    </xf>
    <xf numFmtId="3" fontId="25" fillId="0" borderId="185" xfId="10" applyNumberFormat="1" applyFont="1" applyBorder="1" applyAlignment="1">
      <alignment vertical="center"/>
    </xf>
    <xf numFmtId="191" fontId="25" fillId="0" borderId="209" xfId="10" applyNumberFormat="1" applyFont="1" applyBorder="1" applyAlignment="1">
      <alignment vertical="center"/>
    </xf>
    <xf numFmtId="3" fontId="8" fillId="0" borderId="55" xfId="10" applyNumberFormat="1" applyFont="1" applyBorder="1" applyAlignment="1">
      <alignment horizontal="center" vertical="center"/>
    </xf>
    <xf numFmtId="3" fontId="25" fillId="0" borderId="154" xfId="10" applyNumberFormat="1" applyFont="1" applyBorder="1" applyAlignment="1">
      <alignment vertical="center"/>
    </xf>
    <xf numFmtId="3" fontId="25" fillId="0" borderId="217" xfId="10" applyNumberFormat="1" applyFont="1" applyBorder="1" applyAlignment="1">
      <alignment vertical="center"/>
    </xf>
    <xf numFmtId="191" fontId="25" fillId="0" borderId="218" xfId="10" applyNumberFormat="1" applyFont="1" applyBorder="1" applyAlignment="1">
      <alignment vertical="center"/>
    </xf>
    <xf numFmtId="3" fontId="25" fillId="0" borderId="219" xfId="10" applyNumberFormat="1" applyFont="1" applyBorder="1" applyAlignment="1">
      <alignment vertical="center"/>
    </xf>
    <xf numFmtId="3" fontId="25" fillId="0" borderId="220" xfId="10" applyNumberFormat="1" applyFont="1" applyBorder="1" applyAlignment="1">
      <alignment vertical="center"/>
    </xf>
    <xf numFmtId="3" fontId="25" fillId="0" borderId="221" xfId="10" applyNumberFormat="1" applyFont="1" applyBorder="1" applyAlignment="1">
      <alignment vertical="center"/>
    </xf>
    <xf numFmtId="3" fontId="25" fillId="0" borderId="51" xfId="10" applyNumberFormat="1" applyFont="1" applyBorder="1" applyAlignment="1">
      <alignment vertical="center"/>
    </xf>
    <xf numFmtId="3" fontId="25" fillId="0" borderId="210" xfId="10" applyNumberFormat="1" applyFont="1" applyBorder="1" applyAlignment="1">
      <alignment vertical="center"/>
    </xf>
    <xf numFmtId="3" fontId="25" fillId="0" borderId="201" xfId="10" applyNumberFormat="1" applyFont="1" applyBorder="1" applyAlignment="1">
      <alignment vertical="center"/>
    </xf>
    <xf numFmtId="3" fontId="25" fillId="0" borderId="151" xfId="10" applyNumberFormat="1" applyFont="1" applyBorder="1" applyAlignment="1">
      <alignment vertical="center"/>
    </xf>
    <xf numFmtId="188" fontId="25" fillId="0" borderId="154" xfId="10" applyNumberFormat="1" applyFont="1" applyBorder="1" applyAlignment="1">
      <alignment vertical="center"/>
    </xf>
    <xf numFmtId="3" fontId="8" fillId="0" borderId="28" xfId="10" applyNumberFormat="1" applyFont="1" applyBorder="1" applyAlignment="1">
      <alignment horizontal="center" vertical="center"/>
    </xf>
    <xf numFmtId="3" fontId="25" fillId="0" borderId="28" xfId="10" applyNumberFormat="1" applyFont="1" applyBorder="1" applyAlignment="1">
      <alignment vertical="center"/>
    </xf>
    <xf numFmtId="3" fontId="8" fillId="0" borderId="53" xfId="10" applyNumberFormat="1" applyFont="1" applyBorder="1" applyAlignment="1">
      <alignment horizontal="center" vertical="center"/>
    </xf>
    <xf numFmtId="3" fontId="25" fillId="0" borderId="53" xfId="10" applyNumberFormat="1" applyFont="1" applyBorder="1" applyAlignment="1">
      <alignment vertical="center"/>
    </xf>
    <xf numFmtId="3" fontId="25" fillId="0" borderId="187" xfId="10" applyNumberFormat="1" applyFont="1" applyBorder="1" applyAlignment="1">
      <alignment vertical="center"/>
    </xf>
    <xf numFmtId="3" fontId="25" fillId="0" borderId="186" xfId="10" applyNumberFormat="1" applyFont="1" applyBorder="1" applyAlignment="1">
      <alignment horizontal="right" vertical="center"/>
    </xf>
    <xf numFmtId="3" fontId="25" fillId="0" borderId="167" xfId="10" applyNumberFormat="1" applyFont="1" applyBorder="1" applyAlignment="1">
      <alignment horizontal="right" vertical="center"/>
    </xf>
    <xf numFmtId="3" fontId="8" fillId="0" borderId="55" xfId="10" applyNumberFormat="1" applyFont="1" applyBorder="1" applyAlignment="1">
      <alignment horizontal="center" vertical="center"/>
    </xf>
    <xf numFmtId="3" fontId="25" fillId="0" borderId="55" xfId="10" applyNumberFormat="1" applyFont="1" applyBorder="1" applyAlignment="1">
      <alignment vertical="center"/>
    </xf>
    <xf numFmtId="179" fontId="25" fillId="0" borderId="212" xfId="10" applyNumberFormat="1" applyFont="1" applyBorder="1" applyAlignment="1">
      <alignment vertical="center"/>
    </xf>
    <xf numFmtId="3" fontId="25" fillId="0" borderId="212" xfId="10" applyNumberFormat="1" applyFont="1" applyBorder="1" applyAlignment="1">
      <alignment vertical="center"/>
    </xf>
    <xf numFmtId="3" fontId="25" fillId="0" borderId="185" xfId="10" applyNumberFormat="1" applyFont="1" applyBorder="1" applyAlignment="1">
      <alignment horizontal="right" vertical="center"/>
    </xf>
    <xf numFmtId="3" fontId="25" fillId="0" borderId="213" xfId="10" quotePrefix="1" applyNumberFormat="1" applyFont="1" applyBorder="1" applyAlignment="1">
      <alignment horizontal="right" vertical="center"/>
    </xf>
    <xf numFmtId="3" fontId="25" fillId="0" borderId="214" xfId="10" quotePrefix="1" applyNumberFormat="1" applyFont="1" applyBorder="1" applyAlignment="1">
      <alignment horizontal="right" vertical="center"/>
    </xf>
    <xf numFmtId="3" fontId="25" fillId="0" borderId="215" xfId="10" applyNumberFormat="1" applyFont="1" applyBorder="1" applyAlignment="1">
      <alignment horizontal="right" vertical="center"/>
    </xf>
    <xf numFmtId="3" fontId="25" fillId="0" borderId="219" xfId="10" quotePrefix="1" applyNumberFormat="1" applyFont="1" applyBorder="1" applyAlignment="1">
      <alignment horizontal="right" vertical="center"/>
    </xf>
    <xf numFmtId="3" fontId="25" fillId="0" borderId="220" xfId="10" quotePrefix="1" applyNumberFormat="1" applyFont="1" applyBorder="1" applyAlignment="1">
      <alignment horizontal="right" vertical="center"/>
    </xf>
    <xf numFmtId="3" fontId="8" fillId="0" borderId="53" xfId="10" applyNumberFormat="1" applyFont="1" applyBorder="1" applyAlignment="1">
      <alignment horizontal="center" vertical="center" shrinkToFit="1"/>
    </xf>
    <xf numFmtId="3" fontId="25" fillId="0" borderId="167" xfId="10" quotePrefix="1" applyNumberFormat="1" applyFont="1" applyBorder="1" applyAlignment="1">
      <alignment horizontal="right" vertical="center"/>
    </xf>
    <xf numFmtId="3" fontId="8" fillId="8" borderId="53" xfId="10" applyNumberFormat="1" applyFont="1" applyFill="1" applyBorder="1" applyAlignment="1">
      <alignment horizontal="center" vertical="center"/>
    </xf>
    <xf numFmtId="3" fontId="25" fillId="8" borderId="50" xfId="10" applyNumberFormat="1" applyFont="1" applyFill="1" applyBorder="1" applyAlignment="1">
      <alignment vertical="center"/>
    </xf>
    <xf numFmtId="3" fontId="25" fillId="8" borderId="222" xfId="10" applyNumberFormat="1" applyFont="1" applyFill="1" applyBorder="1" applyAlignment="1">
      <alignment vertical="center"/>
    </xf>
    <xf numFmtId="191" fontId="25" fillId="8" borderId="182" xfId="10" applyNumberFormat="1" applyFont="1" applyFill="1" applyBorder="1" applyAlignment="1">
      <alignment vertical="center"/>
    </xf>
    <xf numFmtId="3" fontId="25" fillId="8" borderId="180" xfId="10" applyNumberFormat="1" applyFont="1" applyFill="1" applyBorder="1" applyAlignment="1">
      <alignment vertical="center"/>
    </xf>
    <xf numFmtId="3" fontId="25" fillId="8" borderId="161" xfId="10" applyNumberFormat="1" applyFont="1" applyFill="1" applyBorder="1" applyAlignment="1">
      <alignment vertical="center"/>
    </xf>
    <xf numFmtId="3" fontId="25" fillId="8" borderId="179" xfId="10" applyNumberFormat="1" applyFont="1" applyFill="1" applyBorder="1" applyAlignment="1">
      <alignment vertical="center"/>
    </xf>
    <xf numFmtId="3" fontId="25" fillId="8" borderId="208" xfId="10" applyNumberFormat="1" applyFont="1" applyFill="1" applyBorder="1" applyAlignment="1">
      <alignment vertical="center"/>
    </xf>
    <xf numFmtId="3" fontId="25" fillId="8" borderId="209" xfId="10" applyNumberFormat="1" applyFont="1" applyFill="1" applyBorder="1" applyAlignment="1">
      <alignment vertical="center"/>
    </xf>
    <xf numFmtId="3" fontId="25" fillId="8" borderId="206" xfId="10" applyNumberFormat="1" applyFont="1" applyFill="1" applyBorder="1" applyAlignment="1">
      <alignment vertical="center"/>
    </xf>
    <xf numFmtId="3" fontId="25" fillId="8" borderId="207" xfId="10" applyNumberFormat="1" applyFont="1" applyFill="1" applyBorder="1" applyAlignment="1">
      <alignment vertical="center"/>
    </xf>
    <xf numFmtId="188" fontId="25" fillId="8" borderId="50" xfId="10" applyNumberFormat="1" applyFont="1" applyFill="1" applyBorder="1" applyAlignment="1">
      <alignment vertical="center"/>
    </xf>
    <xf numFmtId="3" fontId="25" fillId="8" borderId="216" xfId="10" applyNumberFormat="1" applyFont="1" applyFill="1" applyBorder="1" applyAlignment="1">
      <alignment vertical="center"/>
    </xf>
    <xf numFmtId="191" fontId="25" fillId="8" borderId="187" xfId="10" applyNumberFormat="1" applyFont="1" applyFill="1" applyBorder="1" applyAlignment="1">
      <alignment vertical="center"/>
    </xf>
    <xf numFmtId="3" fontId="25" fillId="8" borderId="186" xfId="10" applyNumberFormat="1" applyFont="1" applyFill="1" applyBorder="1" applyAlignment="1">
      <alignment vertical="center"/>
    </xf>
    <xf numFmtId="3" fontId="25" fillId="8" borderId="167" xfId="10" applyNumberFormat="1" applyFont="1" applyFill="1" applyBorder="1" applyAlignment="1">
      <alignment vertical="center"/>
    </xf>
    <xf numFmtId="3" fontId="25" fillId="8" borderId="185" xfId="10" applyNumberFormat="1" applyFont="1" applyFill="1" applyBorder="1" applyAlignment="1">
      <alignment vertical="center"/>
    </xf>
    <xf numFmtId="179" fontId="25" fillId="8" borderId="209" xfId="10" applyNumberFormat="1" applyFont="1" applyFill="1" applyBorder="1" applyAlignment="1">
      <alignment vertical="center"/>
    </xf>
    <xf numFmtId="3" fontId="8" fillId="8" borderId="55" xfId="10" applyNumberFormat="1" applyFont="1" applyFill="1" applyBorder="1" applyAlignment="1">
      <alignment horizontal="center" vertical="center"/>
    </xf>
    <xf numFmtId="3" fontId="25" fillId="8" borderId="154" xfId="10" applyNumberFormat="1" applyFont="1" applyFill="1" applyBorder="1" applyAlignment="1">
      <alignment vertical="center"/>
    </xf>
    <xf numFmtId="3" fontId="25" fillId="8" borderId="217" xfId="10" applyNumberFormat="1" applyFont="1" applyFill="1" applyBorder="1" applyAlignment="1">
      <alignment horizontal="center" vertical="center"/>
    </xf>
    <xf numFmtId="3" fontId="25" fillId="8" borderId="218" xfId="10" applyNumberFormat="1" applyFont="1" applyFill="1" applyBorder="1" applyAlignment="1">
      <alignment horizontal="center" vertical="center"/>
    </xf>
    <xf numFmtId="3" fontId="25" fillId="8" borderId="219" xfId="10" applyNumberFormat="1" applyFont="1" applyFill="1" applyBorder="1" applyAlignment="1">
      <alignment vertical="center"/>
    </xf>
    <xf numFmtId="3" fontId="25" fillId="8" borderId="220" xfId="10" applyNumberFormat="1" applyFont="1" applyFill="1" applyBorder="1" applyAlignment="1">
      <alignment vertical="center"/>
    </xf>
    <xf numFmtId="3" fontId="25" fillId="8" borderId="221" xfId="10" applyNumberFormat="1" applyFont="1" applyFill="1" applyBorder="1" applyAlignment="1">
      <alignment vertical="center"/>
    </xf>
    <xf numFmtId="3" fontId="25" fillId="8" borderId="221" xfId="10" applyNumberFormat="1" applyFont="1" applyFill="1" applyBorder="1" applyAlignment="1">
      <alignment horizontal="center" vertical="center"/>
    </xf>
    <xf numFmtId="3" fontId="25" fillId="8" borderId="219" xfId="10" applyNumberFormat="1" applyFont="1" applyFill="1" applyBorder="1" applyAlignment="1">
      <alignment horizontal="center" vertical="center"/>
    </xf>
    <xf numFmtId="3" fontId="25" fillId="8" borderId="201" xfId="10" applyNumberFormat="1" applyFont="1" applyFill="1" applyBorder="1" applyAlignment="1">
      <alignment vertical="center"/>
    </xf>
    <xf numFmtId="3" fontId="25" fillId="8" borderId="151" xfId="10" applyNumberFormat="1" applyFont="1" applyFill="1" applyBorder="1" applyAlignment="1">
      <alignment vertical="center"/>
    </xf>
    <xf numFmtId="188" fontId="25" fillId="8" borderId="154" xfId="10" applyNumberFormat="1" applyFont="1" applyFill="1" applyBorder="1" applyAlignment="1">
      <alignment vertical="center"/>
    </xf>
    <xf numFmtId="3" fontId="25" fillId="0" borderId="0" xfId="10" applyNumberFormat="1" applyFont="1" applyAlignment="1">
      <alignment horizontal="center" vertical="center"/>
    </xf>
    <xf numFmtId="191" fontId="25" fillId="0" borderId="0" xfId="10" applyNumberFormat="1" applyFont="1" applyAlignment="1">
      <alignment horizontal="right" vertical="center"/>
    </xf>
    <xf numFmtId="3" fontId="25" fillId="0" borderId="211" xfId="10" applyNumberFormat="1" applyFont="1" applyBorder="1" applyAlignment="1">
      <alignment horizontal="center" vertical="center"/>
    </xf>
    <xf numFmtId="3" fontId="25" fillId="0" borderId="223" xfId="10" applyNumberFormat="1" applyFont="1" applyBorder="1" applyAlignment="1">
      <alignment horizontal="center" vertical="center"/>
    </xf>
    <xf numFmtId="191" fontId="25" fillId="0" borderId="0" xfId="10" applyNumberFormat="1" applyFont="1" applyAlignment="1">
      <alignment vertical="center"/>
    </xf>
    <xf numFmtId="188" fontId="25" fillId="0" borderId="0" xfId="10" applyNumberFormat="1" applyFont="1" applyAlignment="1">
      <alignment vertical="center"/>
    </xf>
    <xf numFmtId="3" fontId="25" fillId="0" borderId="0" xfId="10" quotePrefix="1" applyNumberFormat="1" applyFont="1" applyAlignment="1">
      <alignment vertical="center"/>
    </xf>
    <xf numFmtId="3" fontId="25" fillId="0" borderId="216" xfId="10" applyNumberFormat="1" applyFont="1" applyBorder="1" applyAlignment="1">
      <alignment horizontal="center" vertical="center"/>
    </xf>
    <xf numFmtId="3" fontId="25" fillId="0" borderId="144" xfId="10" applyNumberFormat="1" applyFont="1" applyBorder="1" applyAlignment="1">
      <alignment horizontal="center" vertical="center"/>
    </xf>
    <xf numFmtId="3" fontId="8" fillId="0" borderId="0" xfId="10" applyNumberFormat="1" applyFont="1" applyAlignment="1">
      <alignment vertical="center"/>
    </xf>
    <xf numFmtId="3" fontId="25" fillId="0" borderId="0" xfId="10" quotePrefix="1" applyNumberFormat="1" applyFont="1" applyAlignment="1">
      <alignment horizontal="left" vertical="center"/>
    </xf>
    <xf numFmtId="3" fontId="25" fillId="0" borderId="217" xfId="10" applyNumberFormat="1" applyFont="1" applyBorder="1" applyAlignment="1">
      <alignment horizontal="center" vertical="center"/>
    </xf>
    <xf numFmtId="3" fontId="25" fillId="0" borderId="224" xfId="10" applyNumberFormat="1" applyFont="1" applyBorder="1" applyAlignment="1">
      <alignment horizontal="center" vertical="center"/>
    </xf>
    <xf numFmtId="3" fontId="25" fillId="2" borderId="0" xfId="10" applyNumberFormat="1" applyFont="1" applyFill="1" applyAlignment="1">
      <alignment vertical="center"/>
    </xf>
    <xf numFmtId="3" fontId="25" fillId="4" borderId="59" xfId="10" applyNumberFormat="1" applyFont="1" applyFill="1" applyBorder="1" applyAlignment="1">
      <alignment horizontal="center" vertical="center"/>
    </xf>
    <xf numFmtId="3" fontId="25" fillId="4" borderId="59" xfId="10" quotePrefix="1" applyNumberFormat="1" applyFont="1" applyFill="1" applyBorder="1" applyAlignment="1">
      <alignment horizontal="center" vertical="center"/>
    </xf>
    <xf numFmtId="3" fontId="5" fillId="4" borderId="28" xfId="10" applyNumberFormat="1" applyFont="1" applyFill="1" applyBorder="1" applyAlignment="1">
      <alignment horizontal="center" vertical="center"/>
    </xf>
    <xf numFmtId="3" fontId="25" fillId="8" borderId="154" xfId="10" applyNumberFormat="1" applyFont="1" applyFill="1" applyBorder="1" applyAlignment="1">
      <alignment horizontal="center" vertical="center"/>
    </xf>
    <xf numFmtId="3" fontId="5" fillId="4" borderId="53" xfId="10" applyNumberFormat="1" applyFont="1" applyFill="1" applyBorder="1" applyAlignment="1">
      <alignment horizontal="center" vertical="center"/>
    </xf>
    <xf numFmtId="3" fontId="25" fillId="0" borderId="53" xfId="10" applyNumberFormat="1" applyFont="1" applyBorder="1" applyAlignment="1">
      <alignment horizontal="center" vertical="center"/>
    </xf>
    <xf numFmtId="3" fontId="5" fillId="4" borderId="56" xfId="10" applyNumberFormat="1" applyFont="1" applyFill="1" applyBorder="1" applyAlignment="1">
      <alignment horizontal="center" vertical="center"/>
    </xf>
    <xf numFmtId="3" fontId="5" fillId="4" borderId="59" xfId="10" applyNumberFormat="1" applyFont="1" applyFill="1" applyBorder="1" applyAlignment="1">
      <alignment horizontal="center" vertical="center"/>
    </xf>
    <xf numFmtId="3" fontId="5" fillId="4" borderId="28" xfId="10" applyNumberFormat="1" applyFont="1" applyFill="1" applyBorder="1" applyAlignment="1">
      <alignment horizontal="center" vertical="center" wrapText="1"/>
    </xf>
    <xf numFmtId="3" fontId="5" fillId="8" borderId="28" xfId="10" applyNumberFormat="1" applyFont="1" applyFill="1" applyBorder="1" applyAlignment="1">
      <alignment horizontal="center" vertical="center" wrapText="1"/>
    </xf>
    <xf numFmtId="3" fontId="5" fillId="4" borderId="28" xfId="10" quotePrefix="1" applyNumberFormat="1" applyFont="1" applyFill="1" applyBorder="1" applyAlignment="1">
      <alignment horizontal="center" vertical="center" wrapText="1"/>
    </xf>
    <xf numFmtId="3" fontId="5" fillId="4" borderId="56" xfId="10" quotePrefix="1" applyNumberFormat="1" applyFont="1" applyFill="1" applyBorder="1" applyAlignment="1">
      <alignment horizontal="center" vertical="center"/>
    </xf>
    <xf numFmtId="3" fontId="5" fillId="4" borderId="59" xfId="10" quotePrefix="1" applyNumberFormat="1" applyFont="1" applyFill="1" applyBorder="1" applyAlignment="1">
      <alignment horizontal="center" vertical="center"/>
    </xf>
    <xf numFmtId="3" fontId="5" fillId="0" borderId="53" xfId="10" applyNumberFormat="1" applyFont="1" applyBorder="1" applyAlignment="1">
      <alignment horizontal="center" vertical="center"/>
    </xf>
    <xf numFmtId="3" fontId="24" fillId="0" borderId="0" xfId="10" applyNumberFormat="1" applyFont="1" applyAlignment="1">
      <alignment vertical="center"/>
    </xf>
    <xf numFmtId="3" fontId="25" fillId="4" borderId="55" xfId="10" applyNumberFormat="1" applyFont="1" applyFill="1" applyBorder="1" applyAlignment="1">
      <alignment horizontal="center" vertical="center"/>
    </xf>
    <xf numFmtId="3" fontId="5" fillId="4" borderId="51" xfId="10" applyNumberFormat="1" applyFont="1" applyFill="1" applyBorder="1" applyAlignment="1">
      <alignment horizontal="center" vertical="center"/>
    </xf>
    <xf numFmtId="3" fontId="5" fillId="4" borderId="154" xfId="10" applyNumberFormat="1" applyFont="1" applyFill="1" applyBorder="1" applyAlignment="1">
      <alignment horizontal="center" vertical="center"/>
    </xf>
    <xf numFmtId="3" fontId="5" fillId="4" borderId="55" xfId="10" applyNumberFormat="1" applyFont="1" applyFill="1" applyBorder="1" applyAlignment="1">
      <alignment horizontal="center" vertical="center"/>
    </xf>
    <xf numFmtId="3" fontId="5" fillId="8" borderId="55" xfId="10" applyNumberFormat="1" applyFont="1" applyFill="1" applyBorder="1" applyAlignment="1">
      <alignment horizontal="center" vertical="center"/>
    </xf>
    <xf numFmtId="3" fontId="5" fillId="4" borderId="55" xfId="10" quotePrefix="1" applyNumberFormat="1" applyFont="1" applyFill="1" applyBorder="1" applyAlignment="1">
      <alignment horizontal="center" vertical="center"/>
    </xf>
    <xf numFmtId="3" fontId="5" fillId="4" borderId="51" xfId="10" quotePrefix="1" applyNumberFormat="1" applyFont="1" applyFill="1" applyBorder="1" applyAlignment="1">
      <alignment horizontal="center" vertical="center"/>
    </xf>
    <xf numFmtId="3" fontId="5" fillId="4" borderId="154" xfId="10" quotePrefix="1" applyNumberFormat="1" applyFont="1" applyFill="1" applyBorder="1" applyAlignment="1">
      <alignment horizontal="center" vertical="center"/>
    </xf>
    <xf numFmtId="49" fontId="25" fillId="4" borderId="53" xfId="10" applyNumberFormat="1" applyFont="1" applyFill="1" applyBorder="1" applyAlignment="1">
      <alignment horizontal="center" vertical="center"/>
    </xf>
    <xf numFmtId="49" fontId="25" fillId="4" borderId="50" xfId="10" applyNumberFormat="1" applyFont="1" applyFill="1" applyBorder="1" applyAlignment="1">
      <alignment vertical="center"/>
    </xf>
    <xf numFmtId="49" fontId="25" fillId="4" borderId="50" xfId="10" applyNumberFormat="1" applyFont="1" applyFill="1" applyBorder="1" applyAlignment="1">
      <alignment horizontal="center" vertical="center"/>
    </xf>
    <xf numFmtId="49" fontId="25" fillId="4" borderId="0" xfId="10" applyNumberFormat="1" applyFont="1" applyFill="1" applyAlignment="1">
      <alignment horizontal="centerContinuous" vertical="center"/>
    </xf>
    <xf numFmtId="49" fontId="25" fillId="4" borderId="50" xfId="10" applyNumberFormat="1" applyFont="1" applyFill="1" applyBorder="1" applyAlignment="1">
      <alignment horizontal="centerContinuous" vertical="center"/>
    </xf>
    <xf numFmtId="3" fontId="25" fillId="8" borderId="50" xfId="10" applyNumberFormat="1" applyFont="1" applyFill="1" applyBorder="1" applyAlignment="1">
      <alignment horizontal="center" vertical="center"/>
    </xf>
    <xf numFmtId="49" fontId="25" fillId="4" borderId="208" xfId="10" quotePrefix="1" applyNumberFormat="1" applyFont="1" applyFill="1" applyBorder="1" applyAlignment="1">
      <alignment vertical="center"/>
    </xf>
    <xf numFmtId="49" fontId="25" fillId="4" borderId="53" xfId="10" quotePrefix="1" applyNumberFormat="1" applyFont="1" applyFill="1" applyBorder="1" applyAlignment="1">
      <alignment horizontal="center" vertical="center"/>
    </xf>
    <xf numFmtId="49" fontId="25" fillId="0" borderId="53" xfId="10" applyNumberFormat="1" applyFont="1" applyBorder="1" applyAlignment="1">
      <alignment vertical="center"/>
    </xf>
    <xf numFmtId="49" fontId="25" fillId="4" borderId="53" xfId="10" applyNumberFormat="1" applyFont="1" applyFill="1" applyBorder="1" applyAlignment="1">
      <alignment vertical="center"/>
    </xf>
    <xf numFmtId="49" fontId="37" fillId="0" borderId="0" xfId="10" applyNumberFormat="1" applyFont="1" applyAlignment="1">
      <alignment vertical="center"/>
    </xf>
    <xf numFmtId="3" fontId="25" fillId="4" borderId="47" xfId="10" applyNumberFormat="1" applyFont="1" applyFill="1" applyBorder="1" applyAlignment="1">
      <alignment horizontal="center" vertical="center"/>
    </xf>
    <xf numFmtId="3" fontId="25" fillId="8" borderId="154" xfId="10" applyNumberFormat="1" applyFont="1" applyFill="1" applyBorder="1" applyAlignment="1">
      <alignment horizontal="center" vertical="center"/>
    </xf>
    <xf numFmtId="3" fontId="25" fillId="4" borderId="47" xfId="10" quotePrefix="1" applyNumberFormat="1" applyFont="1" applyFill="1" applyBorder="1" applyAlignment="1">
      <alignment horizontal="center" vertical="center"/>
    </xf>
    <xf numFmtId="3" fontId="25" fillId="4" borderId="51" xfId="10" quotePrefix="1" applyNumberFormat="1" applyFont="1" applyFill="1" applyBorder="1" applyAlignment="1">
      <alignment horizontal="center" vertical="center"/>
    </xf>
    <xf numFmtId="3" fontId="25" fillId="4" borderId="154" xfId="10" quotePrefix="1" applyNumberFormat="1" applyFont="1" applyFill="1" applyBorder="1" applyAlignment="1">
      <alignment horizontal="center" vertical="center"/>
    </xf>
    <xf numFmtId="3" fontId="25" fillId="4" borderId="55" xfId="10" quotePrefix="1" applyNumberFormat="1" applyFont="1" applyFill="1" applyBorder="1" applyAlignment="1">
      <alignment horizontal="center" vertical="center"/>
    </xf>
    <xf numFmtId="3" fontId="25" fillId="5" borderId="53" xfId="10" applyNumberFormat="1" applyFont="1" applyFill="1" applyBorder="1" applyAlignment="1">
      <alignment horizontal="center" vertical="center"/>
    </xf>
    <xf numFmtId="3" fontId="25" fillId="0" borderId="28" xfId="10" applyNumberFormat="1" applyFont="1" applyBorder="1" applyAlignment="1">
      <alignment horizontal="center" vertical="center"/>
    </xf>
    <xf numFmtId="3" fontId="25" fillId="0" borderId="225" xfId="10" applyNumberFormat="1" applyFont="1" applyBorder="1" applyAlignment="1">
      <alignment vertical="center"/>
    </xf>
    <xf numFmtId="191" fontId="25" fillId="0" borderId="226" xfId="10" applyNumberFormat="1" applyFont="1" applyBorder="1" applyAlignment="1">
      <alignment vertical="center"/>
    </xf>
    <xf numFmtId="3" fontId="25" fillId="0" borderId="227" xfId="10" applyNumberFormat="1" applyFont="1" applyBorder="1" applyAlignment="1">
      <alignment vertical="center"/>
    </xf>
    <xf numFmtId="3" fontId="25" fillId="0" borderId="228" xfId="10" applyNumberFormat="1" applyFont="1" applyBorder="1" applyAlignment="1">
      <alignment vertical="center"/>
    </xf>
    <xf numFmtId="3" fontId="25" fillId="0" borderId="229" xfId="10" applyNumberFormat="1" applyFont="1" applyBorder="1" applyAlignment="1">
      <alignment vertical="center"/>
    </xf>
    <xf numFmtId="191" fontId="25" fillId="0" borderId="227" xfId="10" applyNumberFormat="1" applyFont="1" applyBorder="1" applyAlignment="1">
      <alignment vertical="center"/>
    </xf>
    <xf numFmtId="3" fontId="25" fillId="0" borderId="55" xfId="10" applyNumberFormat="1" applyFont="1" applyBorder="1" applyAlignment="1">
      <alignment horizontal="center" vertical="center"/>
    </xf>
    <xf numFmtId="3" fontId="25" fillId="0" borderId="55" xfId="10" applyNumberFormat="1" applyFont="1" applyBorder="1"/>
    <xf numFmtId="3" fontId="25" fillId="0" borderId="230" xfId="10" applyNumberFormat="1" applyFont="1" applyBorder="1" applyAlignment="1">
      <alignment vertical="center"/>
    </xf>
    <xf numFmtId="191" fontId="25" fillId="0" borderId="231" xfId="10" applyNumberFormat="1" applyFont="1" applyBorder="1" applyAlignment="1">
      <alignment vertical="center"/>
    </xf>
    <xf numFmtId="3" fontId="25" fillId="0" borderId="231" xfId="10" applyNumberFormat="1" applyFont="1" applyBorder="1" applyAlignment="1">
      <alignment vertical="center"/>
    </xf>
    <xf numFmtId="3" fontId="25" fillId="0" borderId="232" xfId="10" applyNumberFormat="1" applyFont="1" applyBorder="1" applyAlignment="1">
      <alignment vertical="center"/>
    </xf>
    <xf numFmtId="191" fontId="25" fillId="0" borderId="47" xfId="10" applyNumberFormat="1" applyFont="1" applyBorder="1" applyAlignment="1">
      <alignment vertical="center"/>
    </xf>
    <xf numFmtId="188" fontId="25" fillId="0" borderId="55" xfId="10" applyNumberFormat="1" applyFont="1" applyBorder="1" applyAlignment="1">
      <alignment vertical="center"/>
    </xf>
    <xf numFmtId="191" fontId="25" fillId="0" borderId="50" xfId="10" applyNumberFormat="1" applyFont="1" applyBorder="1" applyAlignment="1">
      <alignment vertical="center"/>
    </xf>
    <xf numFmtId="188" fontId="25" fillId="0" borderId="53" xfId="10" applyNumberFormat="1" applyFont="1" applyBorder="1" applyAlignment="1">
      <alignment vertical="center"/>
    </xf>
    <xf numFmtId="3" fontId="25" fillId="0" borderId="56" xfId="10" applyNumberFormat="1" applyFont="1" applyBorder="1" applyAlignment="1">
      <alignment vertical="center"/>
    </xf>
    <xf numFmtId="3" fontId="25" fillId="0" borderId="59" xfId="10" applyNumberFormat="1" applyFont="1" applyBorder="1" applyAlignment="1">
      <alignment vertical="center"/>
    </xf>
    <xf numFmtId="3" fontId="25" fillId="0" borderId="53" xfId="10" quotePrefix="1" applyNumberFormat="1" applyFont="1" applyBorder="1" applyAlignment="1">
      <alignment vertical="center"/>
    </xf>
    <xf numFmtId="3" fontId="25" fillId="9" borderId="53" xfId="10" applyNumberFormat="1" applyFont="1" applyFill="1" applyBorder="1" applyAlignment="1">
      <alignment horizontal="center" vertical="center"/>
    </xf>
    <xf numFmtId="3" fontId="25" fillId="9" borderId="208" xfId="10" applyNumberFormat="1" applyFont="1" applyFill="1" applyBorder="1" applyAlignment="1">
      <alignment horizontal="centerContinuous" vertical="center"/>
    </xf>
    <xf numFmtId="3" fontId="25" fillId="9" borderId="50" xfId="10" quotePrefix="1" applyNumberFormat="1" applyFont="1" applyFill="1" applyBorder="1" applyAlignment="1">
      <alignment horizontal="centerContinuous" vertical="center"/>
    </xf>
    <xf numFmtId="3" fontId="25" fillId="9" borderId="50" xfId="10" applyNumberFormat="1" applyFont="1" applyFill="1" applyBorder="1" applyAlignment="1">
      <alignment vertical="center"/>
    </xf>
    <xf numFmtId="3" fontId="25" fillId="9" borderId="208" xfId="10" applyNumberFormat="1" applyFont="1" applyFill="1" applyBorder="1" applyAlignment="1">
      <alignment vertical="center"/>
    </xf>
    <xf numFmtId="191" fontId="25" fillId="9" borderId="0" xfId="10" applyNumberFormat="1" applyFont="1" applyFill="1" applyAlignment="1">
      <alignment vertical="center"/>
    </xf>
    <xf numFmtId="3" fontId="25" fillId="9" borderId="229" xfId="10" applyNumberFormat="1" applyFont="1" applyFill="1" applyBorder="1" applyAlignment="1">
      <alignment vertical="center"/>
    </xf>
    <xf numFmtId="3" fontId="25" fillId="9" borderId="228" xfId="10" applyNumberFormat="1" applyFont="1" applyFill="1" applyBorder="1" applyAlignment="1">
      <alignment vertical="center"/>
    </xf>
    <xf numFmtId="3" fontId="25" fillId="9" borderId="56" xfId="10" applyNumberFormat="1" applyFont="1" applyFill="1" applyBorder="1" applyAlignment="1">
      <alignment vertical="center"/>
    </xf>
    <xf numFmtId="3" fontId="25" fillId="9" borderId="53" xfId="10" applyNumberFormat="1" applyFont="1" applyFill="1" applyBorder="1" applyAlignment="1">
      <alignment vertical="center"/>
    </xf>
    <xf numFmtId="3" fontId="25" fillId="9" borderId="51" xfId="10" applyNumberFormat="1" applyFont="1" applyFill="1" applyBorder="1" applyAlignment="1">
      <alignment horizontal="centerContinuous" vertical="center"/>
    </xf>
    <xf numFmtId="3" fontId="25" fillId="9" borderId="154" xfId="10" applyNumberFormat="1" applyFont="1" applyFill="1" applyBorder="1" applyAlignment="1">
      <alignment horizontal="center" vertical="center"/>
    </xf>
    <xf numFmtId="38" fontId="25" fillId="9" borderId="154" xfId="11" applyFont="1" applyFill="1" applyBorder="1" applyAlignment="1" applyProtection="1">
      <alignment vertical="center"/>
    </xf>
    <xf numFmtId="3" fontId="25" fillId="9" borderId="230" xfId="10" applyNumberFormat="1" applyFont="1" applyFill="1" applyBorder="1" applyAlignment="1">
      <alignment vertical="center"/>
    </xf>
    <xf numFmtId="191" fontId="25" fillId="9" borderId="231" xfId="10" applyNumberFormat="1" applyFont="1" applyFill="1" applyBorder="1" applyAlignment="1">
      <alignment vertical="center"/>
    </xf>
    <xf numFmtId="3" fontId="25" fillId="9" borderId="232" xfId="10" applyNumberFormat="1" applyFont="1" applyFill="1" applyBorder="1" applyAlignment="1">
      <alignment vertical="center"/>
    </xf>
    <xf numFmtId="3" fontId="25" fillId="9" borderId="51" xfId="10" applyNumberFormat="1" applyFont="1" applyFill="1" applyBorder="1" applyAlignment="1">
      <alignment vertical="center"/>
    </xf>
    <xf numFmtId="3" fontId="25" fillId="9" borderId="55" xfId="10" applyNumberFormat="1" applyFont="1" applyFill="1" applyBorder="1" applyAlignment="1">
      <alignment vertical="center"/>
    </xf>
    <xf numFmtId="191" fontId="25" fillId="9" borderId="47" xfId="10" applyNumberFormat="1" applyFont="1" applyFill="1" applyBorder="1" applyAlignment="1">
      <alignment vertical="center"/>
    </xf>
    <xf numFmtId="188" fontId="25" fillId="9" borderId="55" xfId="10" applyNumberFormat="1" applyFont="1" applyFill="1" applyBorder="1" applyAlignment="1">
      <alignment vertical="center"/>
    </xf>
    <xf numFmtId="3" fontId="25" fillId="0" borderId="53" xfId="10" applyNumberFormat="1" applyFont="1" applyBorder="1" applyAlignment="1">
      <alignment horizontal="center" vertical="center"/>
    </xf>
    <xf numFmtId="191" fontId="25" fillId="9" borderId="227" xfId="10" applyNumberFormat="1" applyFont="1" applyFill="1" applyBorder="1" applyAlignment="1">
      <alignment vertical="center"/>
    </xf>
    <xf numFmtId="3" fontId="25" fillId="9" borderId="154" xfId="10" quotePrefix="1" applyNumberFormat="1" applyFont="1" applyFill="1" applyBorder="1" applyAlignment="1">
      <alignment horizontal="center" vertical="center"/>
    </xf>
    <xf numFmtId="3" fontId="25" fillId="9" borderId="154" xfId="10" applyNumberFormat="1" applyFont="1" applyFill="1" applyBorder="1" applyAlignment="1">
      <alignment vertical="center"/>
    </xf>
    <xf numFmtId="3" fontId="25" fillId="9" borderId="230" xfId="10" quotePrefix="1" applyNumberFormat="1" applyFont="1" applyFill="1" applyBorder="1" applyAlignment="1">
      <alignment horizontal="right" vertical="center"/>
    </xf>
    <xf numFmtId="3" fontId="25" fillId="9" borderId="232" xfId="10" quotePrefix="1" applyNumberFormat="1" applyFont="1" applyFill="1" applyBorder="1" applyAlignment="1">
      <alignment horizontal="right" vertical="center"/>
    </xf>
    <xf numFmtId="191" fontId="25" fillId="9" borderId="154" xfId="10" applyNumberFormat="1" applyFont="1" applyFill="1" applyBorder="1" applyAlignment="1">
      <alignment vertical="center"/>
    </xf>
    <xf numFmtId="4" fontId="25" fillId="0" borderId="55" xfId="10" applyNumberFormat="1" applyFont="1" applyBorder="1" applyAlignment="1">
      <alignment vertical="center"/>
    </xf>
    <xf numFmtId="3" fontId="25" fillId="5" borderId="53" xfId="10" applyNumberFormat="1" applyFont="1" applyFill="1" applyBorder="1" applyAlignment="1">
      <alignment vertical="center" wrapText="1"/>
    </xf>
    <xf numFmtId="191" fontId="25" fillId="0" borderId="154" xfId="10" applyNumberFormat="1" applyFont="1" applyBorder="1" applyAlignment="1">
      <alignment vertical="center"/>
    </xf>
    <xf numFmtId="3" fontId="25" fillId="5" borderId="208" xfId="10" applyNumberFormat="1" applyFont="1" applyFill="1" applyBorder="1" applyAlignment="1">
      <alignment horizontal="centerContinuous" vertical="center"/>
    </xf>
    <xf numFmtId="3" fontId="25" fillId="5" borderId="50" xfId="10" applyNumberFormat="1" applyFont="1" applyFill="1" applyBorder="1" applyAlignment="1">
      <alignment vertical="center"/>
    </xf>
    <xf numFmtId="3" fontId="25" fillId="5" borderId="225" xfId="10" applyNumberFormat="1" applyFont="1" applyFill="1" applyBorder="1" applyAlignment="1">
      <alignment vertical="center"/>
    </xf>
    <xf numFmtId="191" fontId="25" fillId="5" borderId="226" xfId="10" applyNumberFormat="1" applyFont="1" applyFill="1" applyBorder="1" applyAlignment="1">
      <alignment vertical="center"/>
    </xf>
    <xf numFmtId="3" fontId="25" fillId="5" borderId="226" xfId="10" applyNumberFormat="1" applyFont="1" applyFill="1" applyBorder="1" applyAlignment="1">
      <alignment vertical="center"/>
    </xf>
    <xf numFmtId="3" fontId="25" fillId="9" borderId="226" xfId="10" applyNumberFormat="1" applyFont="1" applyFill="1" applyBorder="1" applyAlignment="1">
      <alignment vertical="center"/>
    </xf>
    <xf numFmtId="3" fontId="25" fillId="9" borderId="233" xfId="10" applyNumberFormat="1" applyFont="1" applyFill="1" applyBorder="1" applyAlignment="1">
      <alignment vertical="center"/>
    </xf>
    <xf numFmtId="3" fontId="25" fillId="5" borderId="51" xfId="10" applyNumberFormat="1" applyFont="1" applyFill="1" applyBorder="1" applyAlignment="1">
      <alignment horizontal="centerContinuous" vertical="center"/>
    </xf>
    <xf numFmtId="3" fontId="25" fillId="5" borderId="154" xfId="10" applyNumberFormat="1" applyFont="1" applyFill="1" applyBorder="1" applyAlignment="1">
      <alignment vertical="center"/>
    </xf>
    <xf numFmtId="3" fontId="25" fillId="5" borderId="230" xfId="10" applyNumberFormat="1" applyFont="1" applyFill="1" applyBorder="1" applyAlignment="1">
      <alignment vertical="center"/>
    </xf>
    <xf numFmtId="191" fontId="25" fillId="5" borderId="231" xfId="10" applyNumberFormat="1" applyFont="1" applyFill="1" applyBorder="1" applyAlignment="1">
      <alignment vertical="center"/>
    </xf>
    <xf numFmtId="3" fontId="25" fillId="5" borderId="231" xfId="10" applyNumberFormat="1" applyFont="1" applyFill="1" applyBorder="1" applyAlignment="1">
      <alignment vertical="center"/>
    </xf>
    <xf numFmtId="3" fontId="25" fillId="9" borderId="231" xfId="10" applyNumberFormat="1" applyFont="1" applyFill="1" applyBorder="1" applyAlignment="1">
      <alignment vertical="center"/>
    </xf>
    <xf numFmtId="3" fontId="25" fillId="9" borderId="59" xfId="10" quotePrefix="1" applyNumberFormat="1" applyFont="1" applyFill="1" applyBorder="1" applyAlignment="1">
      <alignment horizontal="centerContinuous" vertical="center"/>
    </xf>
    <xf numFmtId="3" fontId="25" fillId="9" borderId="59" xfId="10" applyNumberFormat="1" applyFont="1" applyFill="1" applyBorder="1" applyAlignment="1">
      <alignment vertical="center"/>
    </xf>
    <xf numFmtId="191" fontId="25" fillId="9" borderId="59" xfId="10" applyNumberFormat="1" applyFont="1" applyFill="1" applyBorder="1" applyAlignment="1">
      <alignment vertical="center"/>
    </xf>
    <xf numFmtId="3" fontId="25" fillId="9" borderId="28" xfId="10" applyNumberFormat="1" applyFont="1" applyFill="1" applyBorder="1" applyAlignment="1">
      <alignment vertical="center"/>
    </xf>
    <xf numFmtId="3" fontId="25" fillId="9" borderId="225" xfId="10" applyNumberFormat="1" applyFont="1" applyFill="1" applyBorder="1" applyAlignment="1">
      <alignment vertical="center"/>
    </xf>
    <xf numFmtId="3" fontId="25" fillId="5" borderId="53" xfId="10" applyNumberFormat="1" applyFont="1" applyFill="1" applyBorder="1" applyAlignment="1">
      <alignment horizontal="center" vertical="center" wrapText="1"/>
    </xf>
    <xf numFmtId="3" fontId="37" fillId="9" borderId="0" xfId="10" applyNumberFormat="1" applyFont="1" applyFill="1" applyAlignment="1">
      <alignment vertical="center"/>
    </xf>
    <xf numFmtId="191" fontId="25" fillId="9" borderId="50" xfId="10" applyNumberFormat="1" applyFont="1" applyFill="1" applyBorder="1" applyAlignment="1">
      <alignment vertical="center"/>
    </xf>
    <xf numFmtId="191" fontId="25" fillId="0" borderId="59" xfId="10" applyNumberFormat="1" applyFont="1" applyBorder="1" applyAlignment="1">
      <alignment vertical="center"/>
    </xf>
    <xf numFmtId="3" fontId="37" fillId="0" borderId="208" xfId="10" applyNumberFormat="1" applyFont="1" applyBorder="1" applyAlignment="1">
      <alignment vertical="center"/>
    </xf>
    <xf numFmtId="3" fontId="37" fillId="9" borderId="208" xfId="10" applyNumberFormat="1" applyFont="1" applyFill="1" applyBorder="1" applyAlignment="1">
      <alignment vertical="center"/>
    </xf>
    <xf numFmtId="191" fontId="25" fillId="9" borderId="226" xfId="10" applyNumberFormat="1" applyFont="1" applyFill="1" applyBorder="1" applyAlignment="1">
      <alignment vertical="center"/>
    </xf>
    <xf numFmtId="3" fontId="25" fillId="4" borderId="208" xfId="10" applyNumberFormat="1" applyFont="1" applyFill="1" applyBorder="1" applyAlignment="1">
      <alignment horizontal="center" vertical="center"/>
    </xf>
    <xf numFmtId="3" fontId="25" fillId="9" borderId="0" xfId="10" applyNumberFormat="1" applyFont="1" applyFill="1" applyAlignment="1">
      <alignment vertical="center"/>
    </xf>
    <xf numFmtId="3" fontId="25" fillId="5" borderId="229" xfId="10" applyNumberFormat="1" applyFont="1" applyFill="1" applyBorder="1" applyAlignment="1">
      <alignment vertical="center"/>
    </xf>
    <xf numFmtId="3" fontId="25" fillId="5" borderId="228" xfId="10" applyNumberFormat="1" applyFont="1" applyFill="1" applyBorder="1" applyAlignment="1">
      <alignment vertical="center"/>
    </xf>
    <xf numFmtId="3" fontId="25" fillId="5" borderId="208" xfId="10" applyNumberFormat="1" applyFont="1" applyFill="1" applyBorder="1" applyAlignment="1">
      <alignment vertical="center"/>
    </xf>
    <xf numFmtId="191" fontId="25" fillId="5" borderId="0" xfId="10" applyNumberFormat="1" applyFont="1" applyFill="1" applyAlignment="1">
      <alignment vertical="center"/>
    </xf>
    <xf numFmtId="3" fontId="25" fillId="5" borderId="53" xfId="10" applyNumberFormat="1" applyFont="1" applyFill="1" applyBorder="1" applyAlignment="1">
      <alignment vertical="center"/>
    </xf>
    <xf numFmtId="3" fontId="25" fillId="9" borderId="55" xfId="10" applyNumberFormat="1" applyFont="1" applyFill="1" applyBorder="1" applyAlignment="1">
      <alignment horizontal="center" vertical="center"/>
    </xf>
    <xf numFmtId="3" fontId="25" fillId="9" borderId="234" xfId="10" applyNumberFormat="1" applyFont="1" applyFill="1" applyBorder="1" applyAlignment="1">
      <alignment vertical="center"/>
    </xf>
    <xf numFmtId="191" fontId="25" fillId="9" borderId="235" xfId="10" applyNumberFormat="1" applyFont="1" applyFill="1" applyBorder="1" applyAlignment="1">
      <alignment vertical="center"/>
    </xf>
    <xf numFmtId="3" fontId="25" fillId="9" borderId="236" xfId="10" applyNumberFormat="1" applyFont="1" applyFill="1" applyBorder="1" applyAlignment="1">
      <alignment vertical="center"/>
    </xf>
    <xf numFmtId="3" fontId="25" fillId="5" borderId="237" xfId="10" applyNumberFormat="1" applyFont="1" applyFill="1" applyBorder="1" applyAlignment="1">
      <alignment vertical="center"/>
    </xf>
    <xf numFmtId="188" fontId="25" fillId="5" borderId="53" xfId="10" applyNumberFormat="1" applyFont="1" applyFill="1" applyBorder="1" applyAlignment="1">
      <alignment vertical="center"/>
    </xf>
    <xf numFmtId="3" fontId="25" fillId="5" borderId="238" xfId="10" applyNumberFormat="1" applyFont="1" applyFill="1" applyBorder="1" applyAlignment="1">
      <alignment vertical="center"/>
    </xf>
    <xf numFmtId="3" fontId="25" fillId="5" borderId="239" xfId="10" applyNumberFormat="1" applyFont="1" applyFill="1" applyBorder="1" applyAlignment="1">
      <alignment vertical="center"/>
    </xf>
    <xf numFmtId="3" fontId="25" fillId="5" borderId="240" xfId="10" applyNumberFormat="1" applyFont="1" applyFill="1" applyBorder="1" applyAlignment="1">
      <alignment vertical="center"/>
    </xf>
    <xf numFmtId="3" fontId="25" fillId="5" borderId="233" xfId="10" applyNumberFormat="1" applyFont="1" applyFill="1" applyBorder="1" applyAlignment="1">
      <alignment vertical="center"/>
    </xf>
    <xf numFmtId="3" fontId="25" fillId="5" borderId="56" xfId="10" applyNumberFormat="1" applyFont="1" applyFill="1" applyBorder="1" applyAlignment="1">
      <alignment vertical="center"/>
    </xf>
    <xf numFmtId="3" fontId="25" fillId="5" borderId="59" xfId="10" applyNumberFormat="1" applyFont="1" applyFill="1" applyBorder="1" applyAlignment="1">
      <alignment vertical="center"/>
    </xf>
    <xf numFmtId="3" fontId="25" fillId="5" borderId="28" xfId="10" applyNumberFormat="1" applyFont="1" applyFill="1" applyBorder="1" applyAlignment="1">
      <alignment vertical="center"/>
    </xf>
    <xf numFmtId="3" fontId="25" fillId="5" borderId="47" xfId="10" applyNumberFormat="1" applyFont="1" applyFill="1" applyBorder="1" applyAlignment="1">
      <alignment vertical="center"/>
    </xf>
    <xf numFmtId="3" fontId="25" fillId="5" borderId="51" xfId="10" applyNumberFormat="1" applyFont="1" applyFill="1" applyBorder="1" applyAlignment="1">
      <alignment vertical="center"/>
    </xf>
    <xf numFmtId="3" fontId="25" fillId="5" borderId="232" xfId="10" applyNumberFormat="1" applyFont="1" applyFill="1" applyBorder="1" applyAlignment="1">
      <alignment vertical="center"/>
    </xf>
    <xf numFmtId="3" fontId="25" fillId="5" borderId="55" xfId="10" applyNumberFormat="1" applyFont="1" applyFill="1" applyBorder="1" applyAlignment="1">
      <alignment vertical="center"/>
    </xf>
    <xf numFmtId="191" fontId="25" fillId="5" borderId="154" xfId="10" applyNumberFormat="1" applyFont="1" applyFill="1" applyBorder="1" applyAlignment="1">
      <alignment vertical="center"/>
    </xf>
    <xf numFmtId="188" fontId="25" fillId="5" borderId="55" xfId="10" applyNumberFormat="1" applyFont="1" applyFill="1" applyBorder="1" applyAlignment="1">
      <alignment vertical="center"/>
    </xf>
    <xf numFmtId="3" fontId="25" fillId="5" borderId="0" xfId="10" applyNumberFormat="1" applyFont="1" applyFill="1" applyAlignment="1">
      <alignment vertical="center"/>
    </xf>
    <xf numFmtId="191" fontId="25" fillId="5" borderId="50" xfId="10" applyNumberFormat="1" applyFont="1" applyFill="1" applyBorder="1" applyAlignment="1">
      <alignment vertical="center"/>
    </xf>
    <xf numFmtId="3" fontId="25" fillId="5" borderId="241" xfId="10" applyNumberFormat="1" applyFont="1" applyFill="1" applyBorder="1" applyAlignment="1">
      <alignment vertical="center"/>
    </xf>
    <xf numFmtId="3" fontId="25" fillId="5" borderId="242" xfId="10" applyNumberFormat="1" applyFont="1" applyFill="1" applyBorder="1" applyAlignment="1">
      <alignment vertical="center"/>
    </xf>
    <xf numFmtId="3" fontId="25" fillId="4" borderId="50" xfId="10" applyNumberFormat="1" applyFont="1" applyFill="1" applyBorder="1" applyAlignment="1">
      <alignment vertical="center"/>
    </xf>
    <xf numFmtId="3" fontId="25" fillId="4" borderId="53" xfId="10" applyNumberFormat="1" applyFont="1" applyFill="1" applyBorder="1" applyAlignment="1">
      <alignment vertical="center"/>
    </xf>
    <xf numFmtId="3" fontId="25" fillId="4" borderId="208" xfId="10" applyNumberFormat="1" applyFont="1" applyFill="1" applyBorder="1" applyAlignment="1">
      <alignment vertical="center"/>
    </xf>
    <xf numFmtId="191" fontId="25" fillId="4" borderId="50" xfId="10" applyNumberFormat="1" applyFont="1" applyFill="1" applyBorder="1" applyAlignment="1">
      <alignment vertical="center"/>
    </xf>
    <xf numFmtId="3" fontId="25" fillId="4" borderId="228" xfId="10" applyNumberFormat="1" applyFont="1" applyFill="1" applyBorder="1" applyAlignment="1">
      <alignment vertical="center"/>
    </xf>
    <xf numFmtId="3" fontId="25" fillId="8" borderId="228" xfId="10" applyNumberFormat="1" applyFont="1" applyFill="1" applyBorder="1" applyAlignment="1">
      <alignment vertical="center"/>
    </xf>
    <xf numFmtId="3" fontId="25" fillId="8" borderId="53" xfId="10" applyNumberFormat="1" applyFont="1" applyFill="1" applyBorder="1" applyAlignment="1">
      <alignment vertical="center"/>
    </xf>
    <xf numFmtId="3" fontId="25" fillId="8" borderId="208" xfId="10" applyNumberFormat="1" applyFont="1" applyFill="1" applyBorder="1" applyAlignment="1">
      <alignment vertical="center"/>
    </xf>
    <xf numFmtId="188" fontId="25" fillId="4" borderId="53" xfId="10" applyNumberFormat="1" applyFont="1" applyFill="1" applyBorder="1" applyAlignment="1">
      <alignment horizontal="right" vertical="center"/>
    </xf>
    <xf numFmtId="3" fontId="25" fillId="4" borderId="227" xfId="10" applyNumberFormat="1" applyFont="1" applyFill="1" applyBorder="1" applyAlignment="1">
      <alignment vertical="center"/>
    </xf>
    <xf numFmtId="3" fontId="25" fillId="4" borderId="208" xfId="10" quotePrefix="1" applyNumberFormat="1" applyFont="1" applyFill="1" applyBorder="1" applyAlignment="1">
      <alignment horizontal="center" vertical="center"/>
    </xf>
    <xf numFmtId="3" fontId="25" fillId="4" borderId="230" xfId="10" applyNumberFormat="1" applyFont="1" applyFill="1" applyBorder="1" applyAlignment="1">
      <alignment vertical="center"/>
    </xf>
    <xf numFmtId="3" fontId="25" fillId="4" borderId="231" xfId="10" applyNumberFormat="1" applyFont="1" applyFill="1" applyBorder="1" applyAlignment="1">
      <alignment vertical="center"/>
    </xf>
    <xf numFmtId="3" fontId="25" fillId="8" borderId="230" xfId="10" applyNumberFormat="1" applyFont="1" applyFill="1" applyBorder="1" applyAlignment="1">
      <alignment vertical="center"/>
    </xf>
    <xf numFmtId="191" fontId="25" fillId="4" borderId="231" xfId="10" applyNumberFormat="1" applyFont="1" applyFill="1" applyBorder="1" applyAlignment="1">
      <alignment vertical="center"/>
    </xf>
    <xf numFmtId="3" fontId="25" fillId="8" borderId="232" xfId="10" applyNumberFormat="1" applyFont="1" applyFill="1" applyBorder="1" applyAlignment="1">
      <alignment vertical="center"/>
    </xf>
    <xf numFmtId="3" fontId="25" fillId="4" borderId="232" xfId="10" applyNumberFormat="1" applyFont="1" applyFill="1" applyBorder="1" applyAlignment="1">
      <alignment vertical="center"/>
    </xf>
    <xf numFmtId="3" fontId="25" fillId="4" borderId="51" xfId="10" applyNumberFormat="1" applyFont="1" applyFill="1" applyBorder="1" applyAlignment="1">
      <alignment vertical="center"/>
    </xf>
    <xf numFmtId="191" fontId="25" fillId="4" borderId="154" xfId="10" applyNumberFormat="1" applyFont="1" applyFill="1" applyBorder="1" applyAlignment="1">
      <alignment vertical="center"/>
    </xf>
    <xf numFmtId="3" fontId="25" fillId="4" borderId="55" xfId="10" applyNumberFormat="1" applyFont="1" applyFill="1" applyBorder="1" applyAlignment="1">
      <alignment vertical="center"/>
    </xf>
    <xf numFmtId="3" fontId="25" fillId="4" borderId="47" xfId="10" applyNumberFormat="1" applyFont="1" applyFill="1" applyBorder="1" applyAlignment="1">
      <alignment horizontal="centerContinuous" vertical="center"/>
    </xf>
    <xf numFmtId="191" fontId="25" fillId="4" borderId="154" xfId="10" applyNumberFormat="1" applyFont="1" applyFill="1" applyBorder="1" applyAlignment="1">
      <alignment horizontal="centerContinuous" vertical="center"/>
    </xf>
    <xf numFmtId="3" fontId="25" fillId="4" borderId="154" xfId="10" applyNumberFormat="1" applyFont="1" applyFill="1" applyBorder="1" applyAlignment="1">
      <alignment vertical="center"/>
    </xf>
    <xf numFmtId="3" fontId="25" fillId="8" borderId="47" xfId="10" applyNumberFormat="1" applyFont="1" applyFill="1" applyBorder="1" applyAlignment="1">
      <alignment horizontal="centerContinuous" vertical="center"/>
    </xf>
    <xf numFmtId="3" fontId="25" fillId="8" borderId="154" xfId="10" applyNumberFormat="1" applyFont="1" applyFill="1" applyBorder="1" applyAlignment="1">
      <alignment horizontal="centerContinuous" vertical="center"/>
    </xf>
    <xf numFmtId="3" fontId="25" fillId="8" borderId="55" xfId="10" applyNumberFormat="1" applyFont="1" applyFill="1" applyBorder="1" applyAlignment="1">
      <alignment vertical="center"/>
    </xf>
    <xf numFmtId="3" fontId="25" fillId="4" borderId="55" xfId="10" applyNumberFormat="1" applyFont="1" applyFill="1" applyBorder="1" applyAlignment="1">
      <alignment vertical="center"/>
    </xf>
    <xf numFmtId="3" fontId="25" fillId="4" borderId="51" xfId="10" applyNumberFormat="1" applyFont="1" applyFill="1" applyBorder="1" applyAlignment="1">
      <alignment horizontal="centerContinuous" vertical="center"/>
    </xf>
    <xf numFmtId="3" fontId="25" fillId="8" borderId="55" xfId="10" applyNumberFormat="1" applyFont="1" applyFill="1" applyBorder="1" applyAlignment="1">
      <alignment vertical="center"/>
    </xf>
    <xf numFmtId="3" fontId="25" fillId="8" borderId="51" xfId="10" applyNumberFormat="1" applyFont="1" applyFill="1" applyBorder="1" applyAlignment="1">
      <alignment vertical="center"/>
    </xf>
    <xf numFmtId="188" fontId="25" fillId="4" borderId="55" xfId="10" applyNumberFormat="1" applyFont="1" applyFill="1" applyBorder="1" applyAlignment="1">
      <alignment horizontal="right" vertical="center"/>
    </xf>
    <xf numFmtId="3" fontId="25" fillId="0" borderId="0" xfId="10" quotePrefix="1" applyNumberFormat="1" applyFont="1" applyAlignment="1">
      <alignment horizontal="center" vertical="center"/>
    </xf>
    <xf numFmtId="3" fontId="25" fillId="0" borderId="0" xfId="10" applyNumberFormat="1" applyFont="1" applyAlignment="1">
      <alignment horizontal="right" vertical="center"/>
    </xf>
    <xf numFmtId="3" fontId="25" fillId="0" borderId="56" xfId="10" applyNumberFormat="1" applyFont="1" applyBorder="1" applyAlignment="1">
      <alignment horizontal="center" vertical="center"/>
    </xf>
    <xf numFmtId="3" fontId="25" fillId="0" borderId="59" xfId="10" applyNumberFormat="1" applyFont="1" applyBorder="1" applyAlignment="1">
      <alignment horizontal="center" vertical="center"/>
    </xf>
    <xf numFmtId="3" fontId="25" fillId="0" borderId="230" xfId="10" applyNumberFormat="1" applyFont="1" applyBorder="1" applyAlignment="1">
      <alignment horizontal="center" vertical="center"/>
    </xf>
    <xf numFmtId="3" fontId="25" fillId="0" borderId="231" xfId="10" applyNumberFormat="1" applyFont="1" applyBorder="1" applyAlignment="1">
      <alignment horizontal="center" vertical="center"/>
    </xf>
    <xf numFmtId="3" fontId="22" fillId="0" borderId="0" xfId="49" applyNumberFormat="1" applyFont="1" applyAlignment="1">
      <alignment vertical="center"/>
    </xf>
    <xf numFmtId="3" fontId="14" fillId="0" borderId="0" xfId="49" applyNumberFormat="1" applyFont="1" applyAlignment="1">
      <alignment vertical="center"/>
    </xf>
    <xf numFmtId="3" fontId="14" fillId="0" borderId="0" xfId="49" applyNumberFormat="1" applyFont="1" applyAlignment="1">
      <alignment horizontal="center" vertical="center"/>
    </xf>
    <xf numFmtId="3" fontId="14" fillId="0" borderId="47" xfId="49" applyNumberFormat="1" applyFont="1" applyBorder="1" applyAlignment="1">
      <alignment vertical="center"/>
    </xf>
    <xf numFmtId="3" fontId="14" fillId="4" borderId="243" xfId="49" applyNumberFormat="1" applyFont="1" applyFill="1" applyBorder="1" applyAlignment="1">
      <alignment horizontal="center" vertical="center" wrapText="1"/>
    </xf>
    <xf numFmtId="3" fontId="14" fillId="4" borderId="56" xfId="49" applyNumberFormat="1" applyFont="1" applyFill="1" applyBorder="1" applyAlignment="1">
      <alignment horizontal="distributed" vertical="center" indent="12"/>
    </xf>
    <xf numFmtId="3" fontId="14" fillId="4" borderId="45" xfId="49" applyNumberFormat="1" applyFont="1" applyFill="1" applyBorder="1" applyAlignment="1">
      <alignment horizontal="distributed" vertical="center" indent="12"/>
    </xf>
    <xf numFmtId="3" fontId="14" fillId="4" borderId="59" xfId="49" applyNumberFormat="1" applyFont="1" applyFill="1" applyBorder="1" applyAlignment="1">
      <alignment horizontal="distributed" vertical="center" indent="12"/>
    </xf>
    <xf numFmtId="3" fontId="14" fillId="4" borderId="244" xfId="49" applyNumberFormat="1" applyFont="1" applyFill="1" applyBorder="1" applyAlignment="1">
      <alignment horizontal="center" vertical="center" wrapText="1"/>
    </xf>
    <xf numFmtId="3" fontId="14" fillId="4" borderId="170" xfId="49" applyNumberFormat="1" applyFont="1" applyFill="1" applyBorder="1" applyAlignment="1">
      <alignment horizontal="distributed" vertical="center" indent="12"/>
    </xf>
    <xf numFmtId="3" fontId="14" fillId="4" borderId="245" xfId="49" applyNumberFormat="1" applyFont="1" applyFill="1" applyBorder="1" applyAlignment="1">
      <alignment horizontal="distributed" vertical="center" indent="12"/>
    </xf>
    <xf numFmtId="3" fontId="14" fillId="4" borderId="171" xfId="49" applyNumberFormat="1" applyFont="1" applyFill="1" applyBorder="1" applyAlignment="1">
      <alignment horizontal="distributed" vertical="center" indent="12"/>
    </xf>
    <xf numFmtId="3" fontId="14" fillId="4" borderId="246" xfId="49" applyNumberFormat="1" applyFont="1" applyFill="1" applyBorder="1" applyAlignment="1">
      <alignment horizontal="center" vertical="center"/>
    </xf>
    <xf numFmtId="3" fontId="14" fillId="4" borderId="247" xfId="49" applyNumberFormat="1" applyFont="1" applyFill="1" applyBorder="1" applyAlignment="1">
      <alignment horizontal="center" vertical="center" wrapText="1"/>
    </xf>
    <xf numFmtId="3" fontId="14" fillId="4" borderId="248" xfId="49" applyNumberFormat="1" applyFont="1" applyFill="1" applyBorder="1" applyAlignment="1">
      <alignment horizontal="center" vertical="center"/>
    </xf>
    <xf numFmtId="3" fontId="14" fillId="4" borderId="249" xfId="49" applyNumberFormat="1" applyFont="1" applyFill="1" applyBorder="1" applyAlignment="1">
      <alignment horizontal="center" vertical="center"/>
    </xf>
    <xf numFmtId="3" fontId="14" fillId="4" borderId="250" xfId="49" applyNumberFormat="1" applyFont="1" applyFill="1" applyBorder="1" applyAlignment="1">
      <alignment horizontal="center" vertical="center"/>
    </xf>
    <xf numFmtId="3" fontId="14" fillId="4" borderId="251" xfId="49" applyNumberFormat="1" applyFont="1" applyFill="1" applyBorder="1" applyAlignment="1">
      <alignment horizontal="center" vertical="center"/>
    </xf>
    <xf numFmtId="3" fontId="14" fillId="4" borderId="252" xfId="49" applyNumberFormat="1" applyFont="1" applyFill="1" applyBorder="1" applyAlignment="1">
      <alignment horizontal="center" vertical="center"/>
    </xf>
    <xf numFmtId="3" fontId="14" fillId="4" borderId="253" xfId="49" applyNumberFormat="1" applyFont="1" applyFill="1" applyBorder="1" applyAlignment="1">
      <alignment horizontal="center" vertical="center"/>
    </xf>
    <xf numFmtId="3" fontId="14" fillId="4" borderId="77" xfId="49" applyNumberFormat="1" applyFont="1" applyFill="1" applyBorder="1" applyAlignment="1">
      <alignment horizontal="center" vertical="center"/>
    </xf>
    <xf numFmtId="3" fontId="14" fillId="4" borderId="77" xfId="49" applyNumberFormat="1" applyFont="1" applyFill="1" applyBorder="1" applyAlignment="1">
      <alignment horizontal="center" vertical="center" wrapText="1"/>
    </xf>
    <xf numFmtId="3" fontId="14" fillId="4" borderId="254" xfId="49" applyNumberFormat="1" applyFont="1" applyFill="1" applyBorder="1" applyAlignment="1">
      <alignment horizontal="center" vertical="center"/>
    </xf>
    <xf numFmtId="3" fontId="14" fillId="4" borderId="129" xfId="49" applyNumberFormat="1" applyFont="1" applyFill="1" applyBorder="1" applyAlignment="1">
      <alignment horizontal="center" vertical="center"/>
    </xf>
    <xf numFmtId="3" fontId="14" fillId="4" borderId="255" xfId="49" applyNumberFormat="1" applyFont="1" applyFill="1" applyBorder="1" applyAlignment="1">
      <alignment horizontal="center" vertical="center"/>
    </xf>
    <xf numFmtId="3" fontId="14" fillId="4" borderId="256" xfId="49" applyNumberFormat="1" applyFont="1" applyFill="1" applyBorder="1" applyAlignment="1">
      <alignment horizontal="center" vertical="center"/>
    </xf>
    <xf numFmtId="3" fontId="14" fillId="4" borderId="129" xfId="49" applyNumberFormat="1" applyFont="1" applyFill="1" applyBorder="1" applyAlignment="1">
      <alignment vertical="center"/>
    </xf>
    <xf numFmtId="3" fontId="14" fillId="4" borderId="255" xfId="49" applyNumberFormat="1" applyFont="1" applyFill="1" applyBorder="1" applyAlignment="1">
      <alignment vertical="center"/>
    </xf>
    <xf numFmtId="3" fontId="14" fillId="4" borderId="256" xfId="49" applyNumberFormat="1" applyFont="1" applyFill="1" applyBorder="1" applyAlignment="1">
      <alignment vertical="center"/>
    </xf>
    <xf numFmtId="3" fontId="14" fillId="4" borderId="257" xfId="49" applyNumberFormat="1" applyFont="1" applyFill="1" applyBorder="1" applyAlignment="1">
      <alignment horizontal="center" vertical="center"/>
    </xf>
    <xf numFmtId="3" fontId="14" fillId="4" borderId="258" xfId="49" applyNumberFormat="1" applyFont="1" applyFill="1" applyBorder="1" applyAlignment="1">
      <alignment horizontal="center" vertical="center"/>
    </xf>
    <xf numFmtId="3" fontId="14" fillId="4" borderId="259" xfId="49" applyNumberFormat="1" applyFont="1" applyFill="1" applyBorder="1" applyAlignment="1">
      <alignment horizontal="center" vertical="center"/>
    </xf>
    <xf numFmtId="3" fontId="14" fillId="4" borderId="260" xfId="49" applyNumberFormat="1" applyFont="1" applyFill="1" applyBorder="1" applyAlignment="1">
      <alignment horizontal="center" vertical="center"/>
    </xf>
    <xf numFmtId="3" fontId="14" fillId="4" borderId="260" xfId="49" applyNumberFormat="1" applyFont="1" applyFill="1" applyBorder="1" applyAlignment="1">
      <alignment vertical="center"/>
    </xf>
    <xf numFmtId="3" fontId="14" fillId="4" borderId="258" xfId="49" applyNumberFormat="1" applyFont="1" applyFill="1" applyBorder="1" applyAlignment="1">
      <alignment vertical="center"/>
    </xf>
    <xf numFmtId="3" fontId="14" fillId="4" borderId="261" xfId="49" applyNumberFormat="1" applyFont="1" applyFill="1" applyBorder="1" applyAlignment="1">
      <alignment vertical="center"/>
    </xf>
    <xf numFmtId="3" fontId="14" fillId="4" borderId="146" xfId="49" applyNumberFormat="1" applyFont="1" applyFill="1" applyBorder="1" applyAlignment="1">
      <alignment horizontal="center" vertical="center"/>
    </xf>
    <xf numFmtId="3" fontId="14" fillId="4" borderId="147" xfId="49" applyNumberFormat="1" applyFont="1" applyFill="1" applyBorder="1" applyAlignment="1">
      <alignment horizontal="center" vertical="center"/>
    </xf>
    <xf numFmtId="3" fontId="14" fillId="4" borderId="148" xfId="49" applyNumberFormat="1" applyFont="1" applyFill="1" applyBorder="1" applyAlignment="1">
      <alignment horizontal="center" vertical="center"/>
    </xf>
    <xf numFmtId="3" fontId="14" fillId="4" borderId="149" xfId="49" applyNumberFormat="1" applyFont="1" applyFill="1" applyBorder="1" applyAlignment="1">
      <alignment horizontal="center" vertical="center"/>
    </xf>
    <xf numFmtId="3" fontId="14" fillId="4" borderId="145" xfId="49" applyNumberFormat="1" applyFont="1" applyFill="1" applyBorder="1" applyAlignment="1">
      <alignment horizontal="center" vertical="center"/>
    </xf>
    <xf numFmtId="3" fontId="14" fillId="4" borderId="262" xfId="49" applyNumberFormat="1" applyFont="1" applyFill="1" applyBorder="1" applyAlignment="1">
      <alignment horizontal="center" vertical="center"/>
    </xf>
    <xf numFmtId="3" fontId="14" fillId="4" borderId="263" xfId="49" applyNumberFormat="1" applyFont="1" applyFill="1" applyBorder="1" applyAlignment="1">
      <alignment horizontal="center" vertical="center"/>
    </xf>
    <xf numFmtId="3" fontId="14" fillId="5" borderId="88" xfId="49" applyNumberFormat="1" applyFont="1" applyFill="1" applyBorder="1" applyAlignment="1">
      <alignment horizontal="center" vertical="center"/>
    </xf>
    <xf numFmtId="3" fontId="14" fillId="0" borderId="89" xfId="49" applyNumberFormat="1" applyFont="1" applyBorder="1" applyAlignment="1">
      <alignment vertical="center"/>
    </xf>
    <xf numFmtId="3" fontId="14" fillId="0" borderId="90" xfId="49" applyNumberFormat="1" applyFont="1" applyBorder="1" applyAlignment="1">
      <alignment vertical="center"/>
    </xf>
    <xf numFmtId="3" fontId="14" fillId="0" borderId="91" xfId="49" applyNumberFormat="1" applyFont="1" applyBorder="1" applyAlignment="1">
      <alignment vertical="center"/>
    </xf>
    <xf numFmtId="188" fontId="14" fillId="0" borderId="89" xfId="49" applyNumberFormat="1" applyFont="1" applyBorder="1" applyAlignment="1">
      <alignment vertical="center"/>
    </xf>
    <xf numFmtId="188" fontId="14" fillId="0" borderId="90" xfId="49" applyNumberFormat="1" applyFont="1" applyBorder="1" applyAlignment="1">
      <alignment vertical="center"/>
    </xf>
    <xf numFmtId="192" fontId="14" fillId="0" borderId="91" xfId="49" applyNumberFormat="1" applyFont="1" applyBorder="1" applyAlignment="1">
      <alignment vertical="center"/>
    </xf>
    <xf numFmtId="3" fontId="14" fillId="5" borderId="264" xfId="49" applyNumberFormat="1" applyFont="1" applyFill="1" applyBorder="1" applyAlignment="1">
      <alignment horizontal="center" vertical="center"/>
    </xf>
    <xf numFmtId="3" fontId="14" fillId="0" borderId="90" xfId="49" applyNumberFormat="1" applyFont="1" applyBorder="1" applyAlignment="1">
      <alignment horizontal="right" vertical="center"/>
    </xf>
    <xf numFmtId="3" fontId="14" fillId="0" borderId="265" xfId="49" applyNumberFormat="1" applyFont="1" applyBorder="1" applyAlignment="1">
      <alignment vertical="center"/>
    </xf>
    <xf numFmtId="3" fontId="14" fillId="0" borderId="266" xfId="49" applyNumberFormat="1" applyFont="1" applyBorder="1" applyAlignment="1">
      <alignment vertical="center"/>
    </xf>
    <xf numFmtId="188" fontId="14" fillId="0" borderId="266" xfId="49" applyNumberFormat="1" applyFont="1" applyBorder="1" applyAlignment="1">
      <alignment horizontal="right" vertical="center"/>
    </xf>
    <xf numFmtId="3" fontId="14" fillId="5" borderId="96" xfId="49" applyNumberFormat="1" applyFont="1" applyFill="1" applyBorder="1" applyAlignment="1">
      <alignment horizontal="center" vertical="center"/>
    </xf>
    <xf numFmtId="3" fontId="14" fillId="0" borderId="97" xfId="49" applyNumberFormat="1" applyFont="1" applyBorder="1" applyAlignment="1">
      <alignment vertical="center"/>
    </xf>
    <xf numFmtId="3" fontId="14" fillId="0" borderId="98" xfId="49" applyNumberFormat="1" applyFont="1" applyBorder="1" applyAlignment="1">
      <alignment vertical="center"/>
    </xf>
    <xf numFmtId="3" fontId="14" fillId="0" borderId="99" xfId="49" applyNumberFormat="1" applyFont="1" applyBorder="1" applyAlignment="1">
      <alignment vertical="center"/>
    </xf>
    <xf numFmtId="188" fontId="14" fillId="0" borderId="97" xfId="49" applyNumberFormat="1" applyFont="1" applyBorder="1" applyAlignment="1">
      <alignment vertical="center"/>
    </xf>
    <xf numFmtId="188" fontId="14" fillId="0" borderId="98" xfId="49" applyNumberFormat="1" applyFont="1" applyBorder="1" applyAlignment="1">
      <alignment vertical="center"/>
    </xf>
    <xf numFmtId="192" fontId="14" fillId="0" borderId="99" xfId="49" applyNumberFormat="1" applyFont="1" applyBorder="1" applyAlignment="1">
      <alignment vertical="center"/>
    </xf>
    <xf numFmtId="3" fontId="14" fillId="5" borderId="267" xfId="49" applyNumberFormat="1" applyFont="1" applyFill="1" applyBorder="1" applyAlignment="1">
      <alignment horizontal="center" vertical="center"/>
    </xf>
    <xf numFmtId="3" fontId="14" fillId="0" borderId="98" xfId="49" applyNumberFormat="1" applyFont="1" applyBorder="1" applyAlignment="1">
      <alignment horizontal="right" vertical="center"/>
    </xf>
    <xf numFmtId="3" fontId="14" fillId="0" borderId="268" xfId="49" applyNumberFormat="1" applyFont="1" applyBorder="1" applyAlignment="1">
      <alignment vertical="center"/>
    </xf>
    <xf numFmtId="3" fontId="14" fillId="0" borderId="269" xfId="49" applyNumberFormat="1" applyFont="1" applyBorder="1" applyAlignment="1">
      <alignment vertical="center"/>
    </xf>
    <xf numFmtId="188" fontId="14" fillId="0" borderId="269" xfId="49" applyNumberFormat="1" applyFont="1" applyBorder="1" applyAlignment="1">
      <alignment horizontal="right" vertical="center"/>
    </xf>
    <xf numFmtId="3" fontId="14" fillId="5" borderId="104" xfId="49" applyNumberFormat="1" applyFont="1" applyFill="1" applyBorder="1" applyAlignment="1">
      <alignment horizontal="center" vertical="center"/>
    </xf>
    <xf numFmtId="3" fontId="14" fillId="0" borderId="105" xfId="49" applyNumberFormat="1" applyFont="1" applyBorder="1" applyAlignment="1">
      <alignment vertical="center"/>
    </xf>
    <xf numFmtId="3" fontId="14" fillId="0" borderId="106" xfId="49" applyNumberFormat="1" applyFont="1" applyBorder="1" applyAlignment="1">
      <alignment vertical="center"/>
    </xf>
    <xf numFmtId="3" fontId="14" fillId="0" borderId="107" xfId="49" applyNumberFormat="1" applyFont="1" applyBorder="1" applyAlignment="1">
      <alignment vertical="center"/>
    </xf>
    <xf numFmtId="188" fontId="14" fillId="0" borderId="105" xfId="49" applyNumberFormat="1" applyFont="1" applyBorder="1" applyAlignment="1">
      <alignment vertical="center"/>
    </xf>
    <xf numFmtId="188" fontId="14" fillId="0" borderId="106" xfId="49" applyNumberFormat="1" applyFont="1" applyBorder="1" applyAlignment="1">
      <alignment vertical="center"/>
    </xf>
    <xf numFmtId="192" fontId="14" fillId="0" borderId="107" xfId="49" applyNumberFormat="1" applyFont="1" applyBorder="1" applyAlignment="1">
      <alignment vertical="center"/>
    </xf>
    <xf numFmtId="3" fontId="14" fillId="5" borderId="270" xfId="49" applyNumberFormat="1" applyFont="1" applyFill="1" applyBorder="1" applyAlignment="1">
      <alignment horizontal="center" vertical="center"/>
    </xf>
    <xf numFmtId="3" fontId="14" fillId="0" borderId="106" xfId="49" applyNumberFormat="1" applyFont="1" applyBorder="1" applyAlignment="1">
      <alignment horizontal="right" vertical="center"/>
    </xf>
    <xf numFmtId="3" fontId="14" fillId="0" borderId="271" xfId="49" applyNumberFormat="1" applyFont="1" applyBorder="1" applyAlignment="1">
      <alignment vertical="center"/>
    </xf>
    <xf numFmtId="3" fontId="14" fillId="0" borderId="272" xfId="49" applyNumberFormat="1" applyFont="1" applyBorder="1" applyAlignment="1">
      <alignment vertical="center"/>
    </xf>
    <xf numFmtId="188" fontId="14" fillId="0" borderId="272" xfId="49" applyNumberFormat="1" applyFont="1" applyBorder="1" applyAlignment="1">
      <alignment horizontal="right" vertical="center"/>
    </xf>
    <xf numFmtId="192" fontId="14" fillId="0" borderId="89" xfId="49" applyNumberFormat="1" applyFont="1" applyBorder="1" applyAlignment="1">
      <alignment vertical="center"/>
    </xf>
    <xf numFmtId="192" fontId="14" fillId="0" borderId="90" xfId="49" applyNumberFormat="1" applyFont="1" applyBorder="1" applyAlignment="1">
      <alignment vertical="center"/>
    </xf>
    <xf numFmtId="192" fontId="14" fillId="0" borderId="266" xfId="49" applyNumberFormat="1" applyFont="1" applyBorder="1" applyAlignment="1">
      <alignment horizontal="right" vertical="center"/>
    </xf>
    <xf numFmtId="192" fontId="14" fillId="0" borderId="97" xfId="49" applyNumberFormat="1" applyFont="1" applyBorder="1" applyAlignment="1">
      <alignment vertical="center"/>
    </xf>
    <xf numFmtId="192" fontId="14" fillId="0" borderId="98" xfId="49" applyNumberFormat="1" applyFont="1" applyBorder="1" applyAlignment="1">
      <alignment vertical="center"/>
    </xf>
    <xf numFmtId="192" fontId="14" fillId="0" borderId="269" xfId="49" applyNumberFormat="1" applyFont="1" applyBorder="1" applyAlignment="1">
      <alignment horizontal="right" vertical="center"/>
    </xf>
    <xf numFmtId="192" fontId="14" fillId="0" borderId="269" xfId="49" applyNumberFormat="1" applyFont="1" applyBorder="1" applyAlignment="1">
      <alignment vertical="center"/>
    </xf>
    <xf numFmtId="192" fontId="14" fillId="0" borderId="105" xfId="49" applyNumberFormat="1" applyFont="1" applyBorder="1" applyAlignment="1">
      <alignment vertical="center"/>
    </xf>
    <xf numFmtId="192" fontId="14" fillId="0" borderId="106" xfId="49" applyNumberFormat="1" applyFont="1" applyBorder="1" applyAlignment="1">
      <alignment vertical="center"/>
    </xf>
    <xf numFmtId="192" fontId="14" fillId="0" borderId="272" xfId="49" applyNumberFormat="1" applyFont="1" applyBorder="1" applyAlignment="1">
      <alignment vertical="center"/>
    </xf>
    <xf numFmtId="192" fontId="14" fillId="0" borderId="266" xfId="49" applyNumberFormat="1" applyFont="1" applyBorder="1" applyAlignment="1">
      <alignment vertical="center"/>
    </xf>
    <xf numFmtId="3" fontId="7" fillId="5" borderId="267" xfId="49" applyNumberFormat="1" applyFont="1" applyFill="1" applyBorder="1" applyAlignment="1">
      <alignment horizontal="center" vertical="center"/>
    </xf>
    <xf numFmtId="3" fontId="7" fillId="0" borderId="97" xfId="49" applyNumberFormat="1" applyFont="1" applyBorder="1" applyAlignment="1">
      <alignment vertical="center"/>
    </xf>
    <xf numFmtId="3" fontId="7" fillId="0" borderId="98" xfId="49" applyNumberFormat="1" applyFont="1" applyBorder="1" applyAlignment="1">
      <alignment vertical="center"/>
    </xf>
    <xf numFmtId="3" fontId="7" fillId="0" borderId="268" xfId="49" applyNumberFormat="1" applyFont="1" applyBorder="1" applyAlignment="1">
      <alignment vertical="center"/>
    </xf>
    <xf numFmtId="3" fontId="7" fillId="0" borderId="269" xfId="49" applyNumberFormat="1" applyFont="1" applyBorder="1" applyAlignment="1">
      <alignment vertical="center"/>
    </xf>
    <xf numFmtId="188" fontId="7" fillId="0" borderId="98" xfId="49" applyNumberFormat="1" applyFont="1" applyBorder="1" applyAlignment="1">
      <alignment vertical="center"/>
    </xf>
    <xf numFmtId="192" fontId="7" fillId="0" borderId="99" xfId="49" applyNumberFormat="1" applyFont="1" applyBorder="1" applyAlignment="1">
      <alignment vertical="center"/>
    </xf>
    <xf numFmtId="3" fontId="7" fillId="5" borderId="270" xfId="49" applyNumberFormat="1" applyFont="1" applyFill="1" applyBorder="1" applyAlignment="1">
      <alignment horizontal="center" vertical="center"/>
    </xf>
    <xf numFmtId="3" fontId="7" fillId="0" borderId="105" xfId="49" applyNumberFormat="1" applyFont="1" applyBorder="1" applyAlignment="1">
      <alignment vertical="center"/>
    </xf>
    <xf numFmtId="3" fontId="7" fillId="0" borderId="106" xfId="49" applyNumberFormat="1" applyFont="1" applyBorder="1" applyAlignment="1">
      <alignment vertical="center"/>
    </xf>
    <xf numFmtId="3" fontId="7" fillId="0" borderId="271" xfId="49" applyNumberFormat="1" applyFont="1" applyBorder="1" applyAlignment="1">
      <alignment vertical="center"/>
    </xf>
    <xf numFmtId="3" fontId="7" fillId="0" borderId="272" xfId="49" applyNumberFormat="1" applyFont="1" applyBorder="1" applyAlignment="1">
      <alignment vertical="center"/>
    </xf>
    <xf numFmtId="188" fontId="7" fillId="0" borderId="106" xfId="49" applyNumberFormat="1" applyFont="1" applyBorder="1" applyAlignment="1">
      <alignment vertical="center"/>
    </xf>
    <xf numFmtId="192" fontId="7" fillId="0" borderId="107" xfId="49" applyNumberFormat="1" applyFont="1" applyBorder="1" applyAlignment="1">
      <alignment vertical="center"/>
    </xf>
    <xf numFmtId="3" fontId="7" fillId="5" borderId="264" xfId="49" applyNumberFormat="1" applyFont="1" applyFill="1" applyBorder="1" applyAlignment="1">
      <alignment horizontal="center" vertical="center"/>
    </xf>
    <xf numFmtId="3" fontId="7" fillId="0" borderId="89" xfId="49" applyNumberFormat="1" applyFont="1" applyBorder="1" applyAlignment="1">
      <alignment vertical="center"/>
    </xf>
    <xf numFmtId="3" fontId="7" fillId="0" borderId="90" xfId="49" applyNumberFormat="1" applyFont="1" applyBorder="1" applyAlignment="1">
      <alignment vertical="center"/>
    </xf>
    <xf numFmtId="3" fontId="7" fillId="0" borderId="265" xfId="49" applyNumberFormat="1" applyFont="1" applyBorder="1" applyAlignment="1">
      <alignment vertical="center"/>
    </xf>
    <xf numFmtId="3" fontId="7" fillId="0" borderId="266" xfId="49" applyNumberFormat="1" applyFont="1" applyBorder="1" applyAlignment="1">
      <alignment vertical="center"/>
    </xf>
    <xf numFmtId="188" fontId="7" fillId="0" borderId="90" xfId="49" applyNumberFormat="1" applyFont="1" applyBorder="1" applyAlignment="1">
      <alignment vertical="center"/>
    </xf>
    <xf numFmtId="192" fontId="7" fillId="0" borderId="91" xfId="49" applyNumberFormat="1" applyFont="1" applyBorder="1" applyAlignment="1">
      <alignment vertical="center"/>
    </xf>
    <xf numFmtId="0" fontId="14" fillId="0" borderId="97" xfId="49" applyFont="1" applyBorder="1" applyAlignment="1">
      <alignment vertical="center"/>
    </xf>
    <xf numFmtId="3" fontId="14" fillId="5" borderId="273" xfId="49" applyNumberFormat="1" applyFont="1" applyFill="1" applyBorder="1" applyAlignment="1">
      <alignment horizontal="center" vertical="center"/>
    </xf>
    <xf numFmtId="3" fontId="14" fillId="0" borderId="274" xfId="49" applyNumberFormat="1" applyFont="1" applyBorder="1" applyAlignment="1">
      <alignment vertical="center"/>
    </xf>
    <xf numFmtId="3" fontId="14" fillId="0" borderId="275" xfId="49" applyNumberFormat="1" applyFont="1" applyBorder="1" applyAlignment="1">
      <alignment vertical="center"/>
    </xf>
    <xf numFmtId="3" fontId="14" fillId="0" borderId="276" xfId="49" applyNumberFormat="1" applyFont="1" applyBorder="1" applyAlignment="1">
      <alignment vertical="center"/>
    </xf>
    <xf numFmtId="0" fontId="14" fillId="0" borderId="277" xfId="49" applyFont="1" applyBorder="1" applyAlignment="1">
      <alignment vertical="center"/>
    </xf>
    <xf numFmtId="192" fontId="14" fillId="0" borderId="278" xfId="49" applyNumberFormat="1" applyFont="1" applyBorder="1" applyAlignment="1">
      <alignment vertical="center"/>
    </xf>
    <xf numFmtId="192" fontId="14" fillId="0" borderId="276" xfId="49" applyNumberFormat="1" applyFont="1" applyBorder="1" applyAlignment="1">
      <alignment vertical="center"/>
    </xf>
    <xf numFmtId="3" fontId="7" fillId="5" borderId="279" xfId="49" applyNumberFormat="1" applyFont="1" applyFill="1" applyBorder="1" applyAlignment="1">
      <alignment horizontal="center" vertical="center"/>
    </xf>
    <xf numFmtId="3" fontId="14" fillId="0" borderId="280" xfId="49" applyNumberFormat="1" applyFont="1" applyBorder="1" applyAlignment="1">
      <alignment vertical="center"/>
    </xf>
    <xf numFmtId="3" fontId="14" fillId="0" borderId="281" xfId="49" applyNumberFormat="1" applyFont="1" applyBorder="1" applyAlignment="1">
      <alignment vertical="center"/>
    </xf>
    <xf numFmtId="192" fontId="14" fillId="0" borderId="281" xfId="49" applyNumberFormat="1" applyFont="1" applyBorder="1" applyAlignment="1">
      <alignment vertical="center"/>
    </xf>
    <xf numFmtId="188" fontId="14" fillId="0" borderId="275" xfId="49" applyNumberFormat="1" applyFont="1" applyBorder="1" applyAlignment="1">
      <alignment vertical="center"/>
    </xf>
    <xf numFmtId="3" fontId="40" fillId="0" borderId="0" xfId="49" applyNumberFormat="1" applyFont="1" applyAlignment="1">
      <alignment vertical="center"/>
    </xf>
    <xf numFmtId="3" fontId="14" fillId="5" borderId="246" xfId="49" applyNumberFormat="1" applyFont="1" applyFill="1" applyBorder="1" applyAlignment="1">
      <alignment horizontal="center" vertical="center"/>
    </xf>
    <xf numFmtId="3" fontId="14" fillId="0" borderId="129" xfId="49" applyNumberFormat="1" applyFont="1" applyBorder="1" applyAlignment="1">
      <alignment vertical="center"/>
    </xf>
    <xf numFmtId="3" fontId="14" fillId="0" borderId="255" xfId="49" applyNumberFormat="1" applyFont="1" applyBorder="1" applyAlignment="1">
      <alignment vertical="center"/>
    </xf>
    <xf numFmtId="3" fontId="14" fillId="0" borderId="256" xfId="49" applyNumberFormat="1" applyFont="1" applyBorder="1" applyAlignment="1">
      <alignment vertical="center"/>
    </xf>
    <xf numFmtId="0" fontId="14" fillId="0" borderId="282" xfId="49" applyFont="1" applyBorder="1" applyAlignment="1">
      <alignment vertical="center"/>
    </xf>
    <xf numFmtId="192" fontId="14" fillId="0" borderId="283" xfId="49" applyNumberFormat="1" applyFont="1" applyBorder="1" applyAlignment="1">
      <alignment vertical="center"/>
    </xf>
    <xf numFmtId="192" fontId="14" fillId="0" borderId="256" xfId="49" applyNumberFormat="1" applyFont="1" applyBorder="1" applyAlignment="1">
      <alignment vertical="center"/>
    </xf>
    <xf numFmtId="3" fontId="7" fillId="5" borderId="250" xfId="49" applyNumberFormat="1" applyFont="1" applyFill="1" applyBorder="1" applyAlignment="1">
      <alignment horizontal="center" vertical="center"/>
    </xf>
    <xf numFmtId="3" fontId="14" fillId="0" borderId="284" xfId="49" applyNumberFormat="1" applyFont="1" applyBorder="1" applyAlignment="1">
      <alignment vertical="center"/>
    </xf>
    <xf numFmtId="3" fontId="14" fillId="0" borderId="285" xfId="49" applyNumberFormat="1" applyFont="1" applyBorder="1" applyAlignment="1">
      <alignment vertical="center"/>
    </xf>
    <xf numFmtId="192" fontId="14" fillId="0" borderId="285" xfId="49" applyNumberFormat="1" applyFont="1" applyBorder="1" applyAlignment="1">
      <alignment vertical="center"/>
    </xf>
    <xf numFmtId="188" fontId="14" fillId="0" borderId="255" xfId="49" applyNumberFormat="1" applyFont="1" applyBorder="1" applyAlignment="1">
      <alignment vertical="center"/>
    </xf>
    <xf numFmtId="3" fontId="14" fillId="5" borderId="113" xfId="49" applyNumberFormat="1" applyFont="1" applyFill="1" applyBorder="1" applyAlignment="1">
      <alignment horizontal="center" vertical="center"/>
    </xf>
    <xf numFmtId="3" fontId="14" fillId="0" borderId="114" xfId="49" applyNumberFormat="1" applyFont="1" applyBorder="1" applyAlignment="1">
      <alignment vertical="center"/>
    </xf>
    <xf numFmtId="3" fontId="14" fillId="0" borderId="115" xfId="49" applyNumberFormat="1" applyFont="1" applyBorder="1" applyAlignment="1">
      <alignment vertical="center"/>
    </xf>
    <xf numFmtId="3" fontId="14" fillId="0" borderId="116" xfId="49" applyNumberFormat="1" applyFont="1" applyBorder="1" applyAlignment="1">
      <alignment vertical="center"/>
    </xf>
    <xf numFmtId="0" fontId="14" fillId="0" borderId="286" xfId="49" applyFont="1" applyBorder="1" applyAlignment="1">
      <alignment vertical="center"/>
    </xf>
    <xf numFmtId="192" fontId="14" fillId="0" borderId="117" xfId="49" applyNumberFormat="1" applyFont="1" applyBorder="1" applyAlignment="1">
      <alignment vertical="center"/>
    </xf>
    <xf numFmtId="192" fontId="14" fillId="0" borderId="116" xfId="49" applyNumberFormat="1" applyFont="1" applyBorder="1" applyAlignment="1">
      <alignment vertical="center"/>
    </xf>
    <xf numFmtId="3" fontId="7" fillId="5" borderId="287" xfId="49" applyNumberFormat="1" applyFont="1" applyFill="1" applyBorder="1" applyAlignment="1">
      <alignment horizontal="center" vertical="center"/>
    </xf>
    <xf numFmtId="3" fontId="14" fillId="0" borderId="288" xfId="49" applyNumberFormat="1" applyFont="1" applyBorder="1" applyAlignment="1">
      <alignment vertical="center"/>
    </xf>
    <xf numFmtId="3" fontId="14" fillId="0" borderId="289" xfId="49" applyNumberFormat="1" applyFont="1" applyBorder="1" applyAlignment="1">
      <alignment vertical="center"/>
    </xf>
    <xf numFmtId="192" fontId="14" fillId="0" borderId="289" xfId="49" applyNumberFormat="1" applyFont="1" applyBorder="1" applyAlignment="1">
      <alignment vertical="center"/>
    </xf>
    <xf numFmtId="188" fontId="14" fillId="0" borderId="115" xfId="49" applyNumberFormat="1" applyFont="1" applyBorder="1" applyAlignment="1">
      <alignment vertical="center"/>
    </xf>
    <xf numFmtId="3" fontId="14" fillId="5" borderId="290" xfId="49" applyNumberFormat="1" applyFont="1" applyFill="1" applyBorder="1" applyAlignment="1">
      <alignment horizontal="center" vertical="center"/>
    </xf>
    <xf numFmtId="3" fontId="14" fillId="0" borderId="132" xfId="49" applyNumberFormat="1" applyFont="1" applyBorder="1" applyAlignment="1">
      <alignment vertical="center"/>
    </xf>
    <xf numFmtId="3" fontId="14" fillId="0" borderId="130" xfId="49" applyNumberFormat="1" applyFont="1" applyBorder="1" applyAlignment="1">
      <alignment vertical="center"/>
    </xf>
    <xf numFmtId="3" fontId="14" fillId="0" borderId="131" xfId="49" applyNumberFormat="1" applyFont="1" applyBorder="1" applyAlignment="1">
      <alignment vertical="center"/>
    </xf>
    <xf numFmtId="188" fontId="14" fillId="0" borderId="291" xfId="49" applyNumberFormat="1" applyFont="1" applyBorder="1" applyAlignment="1">
      <alignment vertical="center"/>
    </xf>
    <xf numFmtId="192" fontId="14" fillId="0" borderId="292" xfId="49" applyNumberFormat="1" applyFont="1" applyBorder="1" applyAlignment="1">
      <alignment vertical="center"/>
    </xf>
    <xf numFmtId="192" fontId="14" fillId="0" borderId="131" xfId="49" applyNumberFormat="1" applyFont="1" applyBorder="1" applyAlignment="1">
      <alignment vertical="center"/>
    </xf>
    <xf numFmtId="3" fontId="7" fillId="5" borderId="293" xfId="49" applyNumberFormat="1" applyFont="1" applyFill="1" applyBorder="1" applyAlignment="1">
      <alignment horizontal="center" vertical="center"/>
    </xf>
    <xf numFmtId="3" fontId="14" fillId="0" borderId="294" xfId="49" applyNumberFormat="1" applyFont="1" applyBorder="1" applyAlignment="1">
      <alignment vertical="center"/>
    </xf>
    <xf numFmtId="3" fontId="14" fillId="0" borderId="295" xfId="49" applyNumberFormat="1" applyFont="1" applyBorder="1" applyAlignment="1">
      <alignment vertical="center"/>
    </xf>
    <xf numFmtId="192" fontId="14" fillId="0" borderId="295" xfId="49" applyNumberFormat="1" applyFont="1" applyBorder="1" applyAlignment="1">
      <alignment vertical="center"/>
    </xf>
    <xf numFmtId="188" fontId="14" fillId="0" borderId="130" xfId="49" applyNumberFormat="1" applyFont="1" applyBorder="1" applyAlignment="1">
      <alignment vertical="center"/>
    </xf>
    <xf numFmtId="3" fontId="14" fillId="0" borderId="138" xfId="49" applyNumberFormat="1" applyFont="1" applyBorder="1" applyAlignment="1">
      <alignment vertical="center"/>
    </xf>
    <xf numFmtId="3" fontId="14" fillId="0" borderId="139" xfId="49" applyNumberFormat="1" applyFont="1" applyBorder="1" applyAlignment="1">
      <alignment vertical="center"/>
    </xf>
    <xf numFmtId="3" fontId="14" fillId="0" borderId="140" xfId="49" applyNumberFormat="1" applyFont="1" applyBorder="1" applyAlignment="1">
      <alignment vertical="center"/>
    </xf>
    <xf numFmtId="188" fontId="14" fillId="0" borderId="185" xfId="49" applyNumberFormat="1" applyFont="1" applyBorder="1" applyAlignment="1">
      <alignment vertical="center"/>
    </xf>
    <xf numFmtId="192" fontId="14" fillId="0" borderId="296" xfId="49" applyNumberFormat="1" applyFont="1" applyBorder="1" applyAlignment="1">
      <alignment vertical="center"/>
    </xf>
    <xf numFmtId="192" fontId="14" fillId="0" borderId="140" xfId="49" applyNumberFormat="1" applyFont="1" applyBorder="1" applyAlignment="1">
      <alignment vertical="center"/>
    </xf>
    <xf numFmtId="3" fontId="7" fillId="5" borderId="185" xfId="49" applyNumberFormat="1" applyFont="1" applyFill="1" applyBorder="1" applyAlignment="1">
      <alignment horizontal="center" vertical="center"/>
    </xf>
    <xf numFmtId="3" fontId="14" fillId="0" borderId="297" xfId="49" applyNumberFormat="1" applyFont="1" applyBorder="1" applyAlignment="1">
      <alignment vertical="center"/>
    </xf>
    <xf numFmtId="3" fontId="14" fillId="0" borderId="298" xfId="49" applyNumberFormat="1" applyFont="1" applyBorder="1" applyAlignment="1">
      <alignment vertical="center"/>
    </xf>
    <xf numFmtId="192" fontId="14" fillId="0" borderId="298" xfId="49" applyNumberFormat="1" applyFont="1" applyBorder="1" applyAlignment="1">
      <alignment vertical="center"/>
    </xf>
    <xf numFmtId="188" fontId="14" fillId="0" borderId="139" xfId="49" applyNumberFormat="1" applyFont="1" applyBorder="1" applyAlignment="1">
      <alignment vertical="center"/>
    </xf>
    <xf numFmtId="3" fontId="14" fillId="5" borderId="299" xfId="49" applyNumberFormat="1" applyFont="1" applyFill="1" applyBorder="1" applyAlignment="1">
      <alignment horizontal="center" vertical="center"/>
    </xf>
    <xf numFmtId="3" fontId="14" fillId="0" borderId="300" xfId="49" applyNumberFormat="1" applyFont="1" applyBorder="1" applyAlignment="1">
      <alignment vertical="center"/>
    </xf>
    <xf numFmtId="3" fontId="14" fillId="0" borderId="301" xfId="49" applyNumberFormat="1" applyFont="1" applyBorder="1" applyAlignment="1">
      <alignment vertical="center"/>
    </xf>
    <xf numFmtId="3" fontId="14" fillId="0" borderId="302" xfId="49" applyNumberFormat="1" applyFont="1" applyBorder="1" applyAlignment="1">
      <alignment vertical="center"/>
    </xf>
    <xf numFmtId="188" fontId="14" fillId="0" borderId="303" xfId="49" applyNumberFormat="1" applyFont="1" applyBorder="1" applyAlignment="1">
      <alignment vertical="center"/>
    </xf>
    <xf numFmtId="192" fontId="14" fillId="0" borderId="304" xfId="49" applyNumberFormat="1" applyFont="1" applyBorder="1" applyAlignment="1">
      <alignment vertical="center"/>
    </xf>
    <xf numFmtId="192" fontId="14" fillId="0" borderId="302" xfId="49" applyNumberFormat="1" applyFont="1" applyBorder="1" applyAlignment="1">
      <alignment vertical="center"/>
    </xf>
    <xf numFmtId="3" fontId="7" fillId="5" borderId="305" xfId="49" applyNumberFormat="1" applyFont="1" applyFill="1" applyBorder="1" applyAlignment="1">
      <alignment horizontal="center" vertical="center"/>
    </xf>
    <xf numFmtId="3" fontId="14" fillId="0" borderId="306" xfId="49" applyNumberFormat="1" applyFont="1" applyBorder="1" applyAlignment="1">
      <alignment vertical="center"/>
    </xf>
    <xf numFmtId="3" fontId="14" fillId="0" borderId="307" xfId="49" applyNumberFormat="1" applyFont="1" applyBorder="1" applyAlignment="1">
      <alignment vertical="center"/>
    </xf>
    <xf numFmtId="192" fontId="14" fillId="0" borderId="307" xfId="49" applyNumberFormat="1" applyFont="1" applyBorder="1" applyAlignment="1">
      <alignment vertical="center"/>
    </xf>
    <xf numFmtId="188" fontId="14" fillId="0" borderId="301" xfId="49" applyNumberFormat="1" applyFont="1" applyBorder="1" applyAlignment="1">
      <alignment vertical="center"/>
    </xf>
    <xf numFmtId="3" fontId="14" fillId="5" borderId="308" xfId="49" applyNumberFormat="1" applyFont="1" applyFill="1" applyBorder="1" applyAlignment="1">
      <alignment horizontal="center" vertical="center"/>
    </xf>
    <xf numFmtId="3" fontId="14" fillId="0" borderId="309" xfId="49" applyNumberFormat="1" applyFont="1" applyBorder="1" applyAlignment="1">
      <alignment vertical="center"/>
    </xf>
    <xf numFmtId="3" fontId="14" fillId="0" borderId="310" xfId="49" applyNumberFormat="1" applyFont="1" applyBorder="1" applyAlignment="1">
      <alignment vertical="center"/>
    </xf>
    <xf numFmtId="3" fontId="14" fillId="0" borderId="311" xfId="49" applyNumberFormat="1" applyFont="1" applyBorder="1" applyAlignment="1">
      <alignment vertical="center"/>
    </xf>
    <xf numFmtId="3" fontId="14" fillId="0" borderId="312" xfId="49" applyNumberFormat="1" applyFont="1" applyBorder="1" applyAlignment="1">
      <alignment vertical="center"/>
    </xf>
    <xf numFmtId="3" fontId="14" fillId="0" borderId="313" xfId="49" applyNumberFormat="1" applyFont="1" applyBorder="1" applyAlignment="1">
      <alignment vertical="center"/>
    </xf>
    <xf numFmtId="188" fontId="14" fillId="0" borderId="0" xfId="49" applyNumberFormat="1" applyFont="1" applyAlignment="1">
      <alignment vertical="center"/>
    </xf>
    <xf numFmtId="192" fontId="14" fillId="0" borderId="314" xfId="49" applyNumberFormat="1" applyFont="1" applyBorder="1" applyAlignment="1">
      <alignment vertical="center"/>
    </xf>
    <xf numFmtId="192" fontId="14" fillId="0" borderId="311" xfId="49" applyNumberFormat="1" applyFont="1" applyBorder="1" applyAlignment="1">
      <alignment vertical="center"/>
    </xf>
    <xf numFmtId="3" fontId="7" fillId="5" borderId="315" xfId="49" applyNumberFormat="1" applyFont="1" applyFill="1" applyBorder="1" applyAlignment="1">
      <alignment horizontal="center" vertical="center"/>
    </xf>
    <xf numFmtId="3" fontId="14" fillId="0" borderId="316" xfId="49" applyNumberFormat="1" applyFont="1" applyBorder="1" applyAlignment="1">
      <alignment vertical="center"/>
    </xf>
    <xf numFmtId="3" fontId="14" fillId="0" borderId="317" xfId="49" applyNumberFormat="1" applyFont="1" applyBorder="1" applyAlignment="1">
      <alignment vertical="center"/>
    </xf>
    <xf numFmtId="192" fontId="14" fillId="0" borderId="317" xfId="49" applyNumberFormat="1" applyFont="1" applyBorder="1" applyAlignment="1">
      <alignment vertical="center"/>
    </xf>
    <xf numFmtId="188" fontId="14" fillId="0" borderId="318" xfId="49" applyNumberFormat="1" applyFont="1" applyBorder="1" applyAlignment="1">
      <alignment vertical="center"/>
    </xf>
    <xf numFmtId="192" fontId="14" fillId="0" borderId="319" xfId="49" applyNumberFormat="1" applyFont="1" applyBorder="1" applyAlignment="1">
      <alignment vertical="center"/>
    </xf>
    <xf numFmtId="192" fontId="14" fillId="0" borderId="320" xfId="49" applyNumberFormat="1" applyFont="1" applyBorder="1" applyAlignment="1">
      <alignment vertical="center"/>
    </xf>
    <xf numFmtId="3" fontId="14" fillId="9" borderId="290" xfId="49" applyNumberFormat="1" applyFont="1" applyFill="1" applyBorder="1" applyAlignment="1">
      <alignment horizontal="center" vertical="center"/>
    </xf>
    <xf numFmtId="3" fontId="14" fillId="9" borderId="156" xfId="49" applyNumberFormat="1" applyFont="1" applyFill="1" applyBorder="1" applyAlignment="1">
      <alignment horizontal="center" vertical="center"/>
    </xf>
    <xf numFmtId="3" fontId="14" fillId="0" borderId="157" xfId="49" applyNumberFormat="1" applyFont="1" applyBorder="1" applyAlignment="1">
      <alignment vertical="center"/>
    </xf>
    <xf numFmtId="3" fontId="14" fillId="0" borderId="158" xfId="49" applyNumberFormat="1" applyFont="1" applyBorder="1" applyAlignment="1">
      <alignment vertical="center"/>
    </xf>
    <xf numFmtId="3" fontId="14" fillId="0" borderId="159" xfId="49" applyNumberFormat="1" applyFont="1" applyBorder="1" applyAlignment="1">
      <alignment vertical="center"/>
    </xf>
    <xf numFmtId="192" fontId="14" fillId="0" borderId="159" xfId="49" applyNumberFormat="1" applyFont="1" applyBorder="1" applyAlignment="1">
      <alignment vertical="center"/>
    </xf>
    <xf numFmtId="3" fontId="14" fillId="9" borderId="165" xfId="49" applyNumberFormat="1" applyFont="1" applyFill="1" applyBorder="1" applyAlignment="1">
      <alignment horizontal="center" vertical="center"/>
    </xf>
    <xf numFmtId="3" fontId="14" fillId="0" borderId="321" xfId="49" applyNumberFormat="1" applyFont="1" applyBorder="1" applyAlignment="1">
      <alignment vertical="center"/>
    </xf>
    <xf numFmtId="3" fontId="14" fillId="0" borderId="322" xfId="49" applyNumberFormat="1" applyFont="1" applyBorder="1" applyAlignment="1">
      <alignment vertical="center"/>
    </xf>
    <xf numFmtId="192" fontId="14" fillId="0" borderId="322" xfId="49" applyNumberFormat="1" applyFont="1" applyBorder="1" applyAlignment="1">
      <alignment vertical="center"/>
    </xf>
    <xf numFmtId="3" fontId="14" fillId="9" borderId="323" xfId="49" applyNumberFormat="1" applyFont="1" applyFill="1" applyBorder="1" applyAlignment="1">
      <alignment horizontal="center" vertical="center"/>
    </xf>
    <xf numFmtId="3" fontId="14" fillId="0" borderId="221" xfId="49" applyNumberFormat="1" applyFont="1" applyBorder="1" applyAlignment="1">
      <alignment vertical="center"/>
    </xf>
    <xf numFmtId="3" fontId="14" fillId="0" borderId="219" xfId="49" applyNumberFormat="1" applyFont="1" applyBorder="1" applyAlignment="1">
      <alignment vertical="center"/>
    </xf>
    <xf numFmtId="3" fontId="14" fillId="0" borderId="220" xfId="49" applyNumberFormat="1" applyFont="1" applyBorder="1" applyAlignment="1">
      <alignment vertical="center"/>
    </xf>
    <xf numFmtId="3" fontId="14" fillId="0" borderId="324" xfId="49" applyNumberFormat="1" applyFont="1" applyBorder="1" applyAlignment="1">
      <alignment vertical="center"/>
    </xf>
    <xf numFmtId="188" fontId="14" fillId="0" borderId="324" xfId="49" applyNumberFormat="1" applyFont="1" applyBorder="1" applyAlignment="1">
      <alignment vertical="center"/>
    </xf>
    <xf numFmtId="188" fontId="14" fillId="0" borderId="325" xfId="49" applyNumberFormat="1" applyFont="1" applyBorder="1" applyAlignment="1">
      <alignment vertical="center"/>
    </xf>
    <xf numFmtId="188" fontId="14" fillId="0" borderId="220" xfId="49" applyNumberFormat="1" applyFont="1" applyBorder="1" applyAlignment="1">
      <alignment vertical="center"/>
    </xf>
    <xf numFmtId="3" fontId="14" fillId="0" borderId="325" xfId="49" applyNumberFormat="1" applyFont="1" applyBorder="1" applyAlignment="1">
      <alignment vertical="center"/>
    </xf>
    <xf numFmtId="188" fontId="14" fillId="0" borderId="221" xfId="49" applyNumberFormat="1" applyFont="1" applyBorder="1" applyAlignment="1">
      <alignment vertical="center"/>
    </xf>
    <xf numFmtId="3" fontId="14" fillId="0" borderId="208" xfId="49" applyNumberFormat="1" applyFont="1" applyBorder="1" applyAlignment="1">
      <alignment vertical="center"/>
    </xf>
    <xf numFmtId="3" fontId="14" fillId="9" borderId="326" xfId="49" applyNumberFormat="1" applyFont="1" applyFill="1" applyBorder="1" applyAlignment="1">
      <alignment horizontal="center" vertical="center"/>
    </xf>
    <xf numFmtId="3" fontId="14" fillId="0" borderId="215" xfId="49" applyNumberFormat="1" applyFont="1" applyBorder="1" applyAlignment="1">
      <alignment vertical="center"/>
    </xf>
    <xf numFmtId="3" fontId="14" fillId="0" borderId="213" xfId="49" applyNumberFormat="1" applyFont="1" applyBorder="1" applyAlignment="1">
      <alignment vertical="center"/>
    </xf>
    <xf numFmtId="3" fontId="14" fillId="0" borderId="214" xfId="49" applyNumberFormat="1" applyFont="1" applyBorder="1" applyAlignment="1">
      <alignment vertical="center"/>
    </xf>
    <xf numFmtId="3" fontId="14" fillId="0" borderId="329" xfId="49" applyNumberFormat="1" applyFont="1" applyBorder="1" applyAlignment="1">
      <alignment vertical="center"/>
    </xf>
    <xf numFmtId="188" fontId="14" fillId="0" borderId="329" xfId="49" applyNumberFormat="1" applyFont="1" applyBorder="1" applyAlignment="1">
      <alignment vertical="center"/>
    </xf>
    <xf numFmtId="188" fontId="14" fillId="0" borderId="392" xfId="49" applyNumberFormat="1" applyFont="1" applyBorder="1" applyAlignment="1">
      <alignment vertical="center"/>
    </xf>
    <xf numFmtId="188" fontId="14" fillId="0" borderId="214" xfId="49" applyNumberFormat="1" applyFont="1" applyBorder="1" applyAlignment="1">
      <alignment vertical="center"/>
    </xf>
    <xf numFmtId="3" fontId="14" fillId="0" borderId="392" xfId="49" applyNumberFormat="1" applyFont="1" applyBorder="1" applyAlignment="1">
      <alignment vertical="center"/>
    </xf>
    <xf numFmtId="188" fontId="14" fillId="0" borderId="215" xfId="49" applyNumberFormat="1" applyFont="1" applyBorder="1" applyAlignment="1">
      <alignment vertical="center"/>
    </xf>
    <xf numFmtId="3" fontId="14" fillId="8" borderId="55" xfId="49" applyNumberFormat="1" applyFont="1" applyFill="1" applyBorder="1" applyAlignment="1">
      <alignment horizontal="center" vertical="center"/>
    </xf>
    <xf numFmtId="3" fontId="14" fillId="8" borderId="200" xfId="49" applyNumberFormat="1" applyFont="1" applyFill="1" applyBorder="1" applyAlignment="1">
      <alignment vertical="center"/>
    </xf>
    <xf numFmtId="3" fontId="14" fillId="8" borderId="201" xfId="49" applyNumberFormat="1" applyFont="1" applyFill="1" applyBorder="1" applyAlignment="1">
      <alignment vertical="center"/>
    </xf>
    <xf numFmtId="3" fontId="14" fillId="8" borderId="151" xfId="49" applyNumberFormat="1" applyFont="1" applyFill="1" applyBorder="1" applyAlignment="1">
      <alignment vertical="center"/>
    </xf>
    <xf numFmtId="3" fontId="14" fillId="8" borderId="47" xfId="49" applyNumberFormat="1" applyFont="1" applyFill="1" applyBorder="1" applyAlignment="1">
      <alignment vertical="center"/>
    </xf>
    <xf numFmtId="188" fontId="14" fillId="8" borderId="47" xfId="49" applyNumberFormat="1" applyFont="1" applyFill="1" applyBorder="1" applyAlignment="1">
      <alignment vertical="center"/>
    </xf>
    <xf numFmtId="188" fontId="14" fillId="8" borderId="202" xfId="49" applyNumberFormat="1" applyFont="1" applyFill="1" applyBorder="1" applyAlignment="1">
      <alignment vertical="center"/>
    </xf>
    <xf numFmtId="188" fontId="14" fillId="8" borderId="151" xfId="49" applyNumberFormat="1" applyFont="1" applyFill="1" applyBorder="1" applyAlignment="1">
      <alignment vertical="center"/>
    </xf>
    <xf numFmtId="3" fontId="14" fillId="8" borderId="202" xfId="49" applyNumberFormat="1" applyFont="1" applyFill="1" applyBorder="1" applyAlignment="1">
      <alignment vertical="center"/>
    </xf>
    <xf numFmtId="188" fontId="14" fillId="8" borderId="200" xfId="49" applyNumberFormat="1" applyFont="1" applyFill="1" applyBorder="1" applyAlignment="1">
      <alignment vertical="center"/>
    </xf>
    <xf numFmtId="3" fontId="14" fillId="10" borderId="0" xfId="49" applyNumberFormat="1" applyFont="1" applyFill="1" applyAlignment="1">
      <alignment vertical="center"/>
    </xf>
    <xf numFmtId="38" fontId="32" fillId="8" borderId="1" xfId="2" applyFont="1" applyFill="1" applyBorder="1" applyAlignment="1" applyProtection="1">
      <alignment horizontal="center" vertical="center" wrapText="1"/>
    </xf>
    <xf numFmtId="193" fontId="32" fillId="8" borderId="1" xfId="2" applyNumberFormat="1" applyFont="1" applyFill="1" applyBorder="1" applyAlignment="1" applyProtection="1">
      <alignment horizontal="center" vertical="center" wrapText="1"/>
    </xf>
    <xf numFmtId="38" fontId="32" fillId="8" borderId="1" xfId="2" applyFont="1" applyFill="1" applyBorder="1" applyAlignment="1" applyProtection="1">
      <alignment horizontal="center" vertical="center" wrapText="1"/>
    </xf>
    <xf numFmtId="38" fontId="32" fillId="0" borderId="0" xfId="2" applyFont="1" applyAlignment="1" applyProtection="1">
      <alignment vertical="center" wrapText="1"/>
    </xf>
    <xf numFmtId="0" fontId="8" fillId="0" borderId="0" xfId="13" applyFont="1">
      <alignment vertical="center"/>
    </xf>
    <xf numFmtId="0" fontId="10" fillId="0" borderId="0" xfId="13" applyFont="1">
      <alignment vertical="center"/>
    </xf>
    <xf numFmtId="0" fontId="6" fillId="0" borderId="0" xfId="13" applyFont="1">
      <alignment vertical="center"/>
    </xf>
    <xf numFmtId="0" fontId="10" fillId="2" borderId="0" xfId="13" applyFont="1" applyFill="1" applyAlignment="1">
      <alignment horizontal="right" vertical="center"/>
    </xf>
    <xf numFmtId="0" fontId="10" fillId="2" borderId="0" xfId="50" applyNumberFormat="1" applyFont="1" applyFill="1" applyAlignment="1" applyProtection="1">
      <alignment horizontal="center" vertical="center"/>
    </xf>
    <xf numFmtId="0" fontId="6" fillId="0" borderId="0" xfId="13" applyFont="1" applyAlignment="1">
      <alignment horizontal="center" vertical="center" wrapText="1"/>
    </xf>
    <xf numFmtId="0" fontId="10" fillId="4" borderId="1" xfId="13" applyFont="1" applyFill="1" applyBorder="1" applyAlignment="1">
      <alignment horizontal="center" vertical="center" wrapText="1"/>
    </xf>
    <xf numFmtId="0" fontId="10" fillId="0" borderId="0" xfId="13" applyFont="1" applyAlignment="1">
      <alignment horizontal="center" vertical="center" wrapText="1"/>
    </xf>
    <xf numFmtId="0" fontId="6" fillId="0" borderId="0" xfId="13" applyFont="1" applyAlignment="1">
      <alignment vertical="center" wrapText="1"/>
    </xf>
    <xf numFmtId="0" fontId="10" fillId="0" borderId="1" xfId="13" applyFont="1" applyBorder="1" applyAlignment="1">
      <alignment vertical="center" wrapText="1"/>
    </xf>
    <xf numFmtId="0" fontId="10" fillId="0" borderId="1" xfId="13" applyFont="1" applyBorder="1" applyAlignment="1">
      <alignment horizontal="center" vertical="center" wrapText="1"/>
    </xf>
    <xf numFmtId="0" fontId="10" fillId="0" borderId="0" xfId="13" applyFont="1" applyAlignment="1">
      <alignment vertical="center" wrapText="1"/>
    </xf>
    <xf numFmtId="0" fontId="10" fillId="8" borderId="1" xfId="13" applyFont="1" applyFill="1" applyBorder="1" applyAlignment="1">
      <alignment horizontal="center" vertical="center" wrapText="1"/>
    </xf>
    <xf numFmtId="49" fontId="10" fillId="0" borderId="0" xfId="13" applyNumberFormat="1" applyFont="1" applyAlignment="1">
      <alignment vertical="center" wrapText="1"/>
    </xf>
    <xf numFmtId="0" fontId="10" fillId="4" borderId="28" xfId="13" applyFont="1" applyFill="1" applyBorder="1" applyAlignment="1">
      <alignment horizontal="center" vertical="center" wrapText="1"/>
    </xf>
    <xf numFmtId="0" fontId="10" fillId="4" borderId="53" xfId="13" applyFont="1" applyFill="1" applyBorder="1" applyAlignment="1">
      <alignment horizontal="center" vertical="center" wrapText="1"/>
    </xf>
    <xf numFmtId="0" fontId="10" fillId="4" borderId="55" xfId="13" applyFont="1" applyFill="1" applyBorder="1" applyAlignment="1">
      <alignment horizontal="center" vertical="center" wrapText="1"/>
    </xf>
    <xf numFmtId="0" fontId="10" fillId="4" borderId="2" xfId="13" applyFont="1" applyFill="1" applyBorder="1" applyAlignment="1">
      <alignment horizontal="center" vertical="center" wrapText="1"/>
    </xf>
    <xf numFmtId="0" fontId="10" fillId="4" borderId="3" xfId="13" applyFont="1" applyFill="1" applyBorder="1" applyAlignment="1">
      <alignment horizontal="center" vertical="center" wrapText="1"/>
    </xf>
    <xf numFmtId="0" fontId="10" fillId="4" borderId="4" xfId="13" applyFont="1" applyFill="1" applyBorder="1" applyAlignment="1">
      <alignment horizontal="center" vertical="center" wrapText="1"/>
    </xf>
    <xf numFmtId="0" fontId="8" fillId="0" borderId="0" xfId="13" applyFont="1" applyAlignment="1">
      <alignment horizontal="center" vertical="center"/>
    </xf>
    <xf numFmtId="0" fontId="10" fillId="0" borderId="0" xfId="13" applyFont="1" applyAlignment="1">
      <alignment horizontal="center" vertical="center"/>
    </xf>
    <xf numFmtId="0" fontId="1" fillId="0" borderId="0" xfId="51">
      <alignment vertical="center"/>
    </xf>
    <xf numFmtId="38" fontId="10" fillId="0" borderId="1" xfId="13" applyNumberFormat="1" applyFont="1" applyBorder="1" applyAlignment="1">
      <alignment vertical="center" wrapText="1"/>
    </xf>
    <xf numFmtId="0" fontId="6" fillId="4" borderId="2" xfId="13" applyFont="1" applyFill="1" applyBorder="1" applyAlignment="1">
      <alignment horizontal="center" vertical="center" wrapText="1"/>
    </xf>
    <xf numFmtId="0" fontId="6" fillId="4" borderId="4" xfId="13" applyFont="1" applyFill="1" applyBorder="1" applyAlignment="1">
      <alignment horizontal="center" vertical="center" wrapText="1"/>
    </xf>
    <xf numFmtId="0" fontId="10" fillId="4" borderId="1" xfId="13" applyFont="1" applyFill="1" applyBorder="1" applyAlignment="1">
      <alignment horizontal="center" vertical="center" wrapText="1"/>
    </xf>
    <xf numFmtId="40" fontId="10" fillId="4" borderId="1" xfId="13" applyNumberFormat="1" applyFont="1" applyFill="1" applyBorder="1" applyAlignment="1">
      <alignment horizontal="center" vertical="center" wrapText="1"/>
    </xf>
    <xf numFmtId="0" fontId="10" fillId="4" borderId="1" xfId="50" applyNumberFormat="1" applyFont="1" applyFill="1" applyBorder="1" applyAlignment="1" applyProtection="1">
      <alignment horizontal="center" vertical="center" wrapText="1"/>
    </xf>
    <xf numFmtId="0" fontId="10" fillId="0" borderId="1" xfId="50" applyNumberFormat="1" applyFont="1" applyFill="1" applyBorder="1" applyProtection="1">
      <alignment vertical="center"/>
    </xf>
    <xf numFmtId="0" fontId="8" fillId="0" borderId="0" xfId="50" applyNumberFormat="1" applyFont="1" applyProtection="1">
      <alignment vertical="center"/>
    </xf>
    <xf numFmtId="0" fontId="10" fillId="0" borderId="0" xfId="50" applyNumberFormat="1" applyFont="1" applyProtection="1">
      <alignment vertical="center"/>
    </xf>
    <xf numFmtId="0" fontId="10" fillId="0" borderId="47" xfId="50" applyNumberFormat="1" applyFont="1" applyBorder="1" applyAlignment="1" applyProtection="1">
      <alignment vertical="center"/>
    </xf>
    <xf numFmtId="0" fontId="5" fillId="0" borderId="3" xfId="13" applyBorder="1">
      <alignment vertical="center"/>
    </xf>
    <xf numFmtId="0" fontId="5" fillId="0" borderId="4" xfId="13" applyBorder="1">
      <alignment vertical="center"/>
    </xf>
    <xf numFmtId="194" fontId="10" fillId="0" borderId="329" xfId="1" applyNumberFormat="1" applyFont="1" applyFill="1" applyBorder="1" applyAlignment="1" applyProtection="1">
      <alignment horizontal="right" vertical="center"/>
    </xf>
    <xf numFmtId="198" fontId="10" fillId="0" borderId="213" xfId="1" applyNumberFormat="1" applyFont="1" applyFill="1" applyBorder="1" applyAlignment="1" applyProtection="1">
      <alignment horizontal="right" vertical="center"/>
    </xf>
    <xf numFmtId="195" fontId="10" fillId="0" borderId="329" xfId="1" applyNumberFormat="1" applyFont="1" applyFill="1" applyBorder="1" applyAlignment="1" applyProtection="1">
      <alignment horizontal="right" vertical="center"/>
    </xf>
    <xf numFmtId="194" fontId="10" fillId="0" borderId="186" xfId="1" applyNumberFormat="1" applyFont="1" applyFill="1" applyBorder="1" applyAlignment="1" applyProtection="1">
      <alignment horizontal="right" vertical="center"/>
    </xf>
    <xf numFmtId="198" fontId="10" fillId="0" borderId="187" xfId="1" applyNumberFormat="1" applyFont="1" applyFill="1" applyBorder="1" applyAlignment="1" applyProtection="1">
      <alignment horizontal="right" vertical="center"/>
    </xf>
    <xf numFmtId="195" fontId="10" fillId="0" borderId="330" xfId="1" applyNumberFormat="1" applyFont="1" applyFill="1" applyBorder="1" applyAlignment="1" applyProtection="1">
      <alignment horizontal="right" vertical="center"/>
    </xf>
    <xf numFmtId="194" fontId="10" fillId="0" borderId="191" xfId="1" applyNumberFormat="1" applyFont="1" applyFill="1" applyBorder="1" applyAlignment="1" applyProtection="1">
      <alignment horizontal="right" vertical="center"/>
    </xf>
    <xf numFmtId="198" fontId="10" fillId="0" borderId="331" xfId="1" applyNumberFormat="1" applyFont="1" applyFill="1" applyBorder="1" applyAlignment="1" applyProtection="1">
      <alignment horizontal="right" vertical="center"/>
    </xf>
    <xf numFmtId="195" fontId="10" fillId="0" borderId="332" xfId="1" applyNumberFormat="1" applyFont="1" applyFill="1" applyBorder="1" applyAlignment="1" applyProtection="1">
      <alignment horizontal="right" vertical="center"/>
    </xf>
    <xf numFmtId="198" fontId="10" fillId="0" borderId="186" xfId="1" applyNumberFormat="1" applyFont="1" applyFill="1" applyBorder="1" applyAlignment="1" applyProtection="1">
      <alignment horizontal="right" vertical="center"/>
    </xf>
    <xf numFmtId="198" fontId="10" fillId="0" borderId="191" xfId="1" applyNumberFormat="1" applyFont="1" applyFill="1" applyBorder="1" applyAlignment="1" applyProtection="1">
      <alignment horizontal="right" vertical="center"/>
    </xf>
    <xf numFmtId="194" fontId="10" fillId="0" borderId="213" xfId="1" applyNumberFormat="1" applyFont="1" applyFill="1" applyBorder="1" applyAlignment="1" applyProtection="1">
      <alignment horizontal="right" vertical="center"/>
    </xf>
    <xf numFmtId="194" fontId="10" fillId="0" borderId="337" xfId="1" applyNumberFormat="1" applyFont="1" applyFill="1" applyBorder="1" applyAlignment="1" applyProtection="1">
      <alignment horizontal="right" vertical="center"/>
    </xf>
    <xf numFmtId="198" fontId="10" fillId="0" borderId="337" xfId="1" applyNumberFormat="1" applyFont="1" applyFill="1" applyBorder="1" applyAlignment="1" applyProtection="1">
      <alignment horizontal="right" vertical="center"/>
    </xf>
    <xf numFmtId="195" fontId="10" fillId="0" borderId="338" xfId="1" applyNumberFormat="1" applyFont="1" applyFill="1" applyBorder="1" applyAlignment="1" applyProtection="1">
      <alignment horizontal="right" vertical="center"/>
    </xf>
    <xf numFmtId="194" fontId="10" fillId="0" borderId="341" xfId="1" applyNumberFormat="1" applyFont="1" applyFill="1" applyBorder="1" applyAlignment="1" applyProtection="1">
      <alignment horizontal="right" vertical="center"/>
    </xf>
    <xf numFmtId="198" fontId="10" fillId="0" borderId="341" xfId="1" applyNumberFormat="1" applyFont="1" applyFill="1" applyBorder="1" applyAlignment="1" applyProtection="1">
      <alignment horizontal="right" vertical="center"/>
    </xf>
    <xf numFmtId="195" fontId="10" fillId="0" borderId="342" xfId="1" applyNumberFormat="1" applyFont="1" applyFill="1" applyBorder="1" applyAlignment="1" applyProtection="1">
      <alignment horizontal="right" vertical="center"/>
    </xf>
    <xf numFmtId="194" fontId="10" fillId="0" borderId="180" xfId="1" applyNumberFormat="1" applyFont="1" applyFill="1" applyBorder="1" applyAlignment="1" applyProtection="1">
      <alignment horizontal="right" vertical="center"/>
    </xf>
    <xf numFmtId="198" fontId="10" fillId="0" borderId="180" xfId="1" applyNumberFormat="1" applyFont="1" applyFill="1" applyBorder="1" applyAlignment="1" applyProtection="1">
      <alignment horizontal="right" vertical="center"/>
    </xf>
    <xf numFmtId="195" fontId="10" fillId="0" borderId="343" xfId="1" applyNumberFormat="1" applyFont="1" applyFill="1" applyBorder="1" applyAlignment="1" applyProtection="1">
      <alignment horizontal="right" vertical="center"/>
    </xf>
    <xf numFmtId="49" fontId="10" fillId="0" borderId="213" xfId="1" applyNumberFormat="1" applyFont="1" applyFill="1" applyBorder="1" applyAlignment="1" applyProtection="1">
      <alignment horizontal="right" vertical="center"/>
    </xf>
    <xf numFmtId="0" fontId="10" fillId="4" borderId="3" xfId="50" applyNumberFormat="1" applyFont="1" applyFill="1" applyBorder="1" applyAlignment="1" applyProtection="1">
      <alignment vertical="center"/>
    </xf>
    <xf numFmtId="0" fontId="10" fillId="0" borderId="0" xfId="50" applyNumberFormat="1" applyFont="1" applyFill="1" applyBorder="1" applyAlignment="1" applyProtection="1">
      <alignment vertical="center"/>
    </xf>
    <xf numFmtId="0" fontId="10" fillId="0" borderId="326" xfId="50" applyNumberFormat="1" applyFont="1" applyFill="1" applyBorder="1" applyProtection="1">
      <alignment vertical="center"/>
    </xf>
    <xf numFmtId="38" fontId="10" fillId="0" borderId="0" xfId="50" applyFont="1" applyFill="1" applyBorder="1" applyAlignment="1" applyProtection="1">
      <alignment horizontal="right" vertical="center"/>
    </xf>
    <xf numFmtId="0" fontId="10" fillId="0" borderId="323" xfId="50" applyNumberFormat="1" applyFont="1" applyFill="1" applyBorder="1" applyProtection="1">
      <alignment vertical="center"/>
    </xf>
    <xf numFmtId="38" fontId="10" fillId="0" borderId="0" xfId="50" applyFont="1" applyFill="1" applyAlignment="1" applyProtection="1">
      <alignment horizontal="right" vertical="center"/>
    </xf>
    <xf numFmtId="0" fontId="10" fillId="0" borderId="178" xfId="50" applyNumberFormat="1" applyFont="1" applyFill="1" applyBorder="1" applyProtection="1">
      <alignment vertical="center"/>
    </xf>
    <xf numFmtId="0" fontId="10" fillId="4" borderId="1" xfId="50" applyNumberFormat="1" applyFont="1" applyFill="1" applyBorder="1" applyAlignment="1" applyProtection="1">
      <alignment vertical="center"/>
    </xf>
    <xf numFmtId="0" fontId="10" fillId="4" borderId="56" xfId="13" applyFont="1" applyFill="1" applyBorder="1" applyAlignment="1">
      <alignment horizontal="center" vertical="center" wrapText="1"/>
    </xf>
    <xf numFmtId="0" fontId="10" fillId="4" borderId="45" xfId="13" applyFont="1" applyFill="1" applyBorder="1" applyAlignment="1">
      <alignment horizontal="center" vertical="center" wrapText="1"/>
    </xf>
    <xf numFmtId="0" fontId="10" fillId="4" borderId="59" xfId="13" applyFont="1" applyFill="1" applyBorder="1" applyAlignment="1">
      <alignment horizontal="center" vertical="center" wrapText="1"/>
    </xf>
    <xf numFmtId="0" fontId="10" fillId="4" borderId="4" xfId="13" applyFont="1" applyFill="1" applyBorder="1" applyAlignment="1">
      <alignment vertical="center" wrapText="1"/>
    </xf>
    <xf numFmtId="0" fontId="10" fillId="4" borderId="208" xfId="13" applyFont="1" applyFill="1" applyBorder="1" applyAlignment="1">
      <alignment horizontal="center" vertical="center" wrapText="1"/>
    </xf>
    <xf numFmtId="0" fontId="10" fillId="4" borderId="0" xfId="13" applyFont="1" applyFill="1" applyAlignment="1">
      <alignment horizontal="center" vertical="center" wrapText="1"/>
    </xf>
    <xf numFmtId="0" fontId="10" fillId="4" borderId="50" xfId="13" applyFont="1" applyFill="1" applyBorder="1" applyAlignment="1">
      <alignment horizontal="center" vertical="center" wrapText="1"/>
    </xf>
    <xf numFmtId="0" fontId="10" fillId="4" borderId="51" xfId="13" applyFont="1" applyFill="1" applyBorder="1" applyAlignment="1">
      <alignment horizontal="center" vertical="center" wrapText="1"/>
    </xf>
    <xf numFmtId="0" fontId="10" fillId="4" borderId="47" xfId="13" applyFont="1" applyFill="1" applyBorder="1" applyAlignment="1">
      <alignment horizontal="center" vertical="center" wrapText="1"/>
    </xf>
    <xf numFmtId="0" fontId="10" fillId="4" borderId="154" xfId="13" applyFont="1" applyFill="1" applyBorder="1" applyAlignment="1">
      <alignment horizontal="center" vertical="center" wrapText="1"/>
    </xf>
    <xf numFmtId="0" fontId="10" fillId="4" borderId="28" xfId="13" applyFont="1" applyFill="1" applyBorder="1" applyAlignment="1">
      <alignment horizontal="center" vertical="center" wrapText="1"/>
    </xf>
    <xf numFmtId="192" fontId="10" fillId="4" borderId="1" xfId="13" applyNumberFormat="1" applyFont="1" applyFill="1" applyBorder="1" applyAlignment="1">
      <alignment horizontal="center" vertical="center" wrapText="1"/>
    </xf>
    <xf numFmtId="38" fontId="10" fillId="0" borderId="326" xfId="17" applyFont="1" applyFill="1" applyBorder="1">
      <alignment vertical="center"/>
    </xf>
    <xf numFmtId="38" fontId="10" fillId="0" borderId="0" xfId="17" applyFont="1" applyFill="1">
      <alignment vertical="center"/>
    </xf>
    <xf numFmtId="38" fontId="10" fillId="0" borderId="184" xfId="17" applyFont="1" applyFill="1" applyBorder="1">
      <alignment vertical="center"/>
    </xf>
    <xf numFmtId="38" fontId="10" fillId="0" borderId="339" xfId="17" applyFont="1" applyFill="1" applyBorder="1">
      <alignment vertical="center"/>
    </xf>
    <xf numFmtId="0" fontId="10" fillId="4" borderId="20" xfId="13" applyFont="1" applyFill="1" applyBorder="1" applyAlignment="1">
      <alignment horizontal="center" vertical="center" wrapText="1"/>
    </xf>
    <xf numFmtId="0" fontId="10" fillId="4" borderId="22" xfId="13" applyFont="1" applyFill="1" applyBorder="1" applyAlignment="1">
      <alignment horizontal="center" vertical="center" wrapText="1"/>
    </xf>
    <xf numFmtId="0" fontId="10" fillId="8" borderId="56" xfId="13" applyFont="1" applyFill="1" applyBorder="1" applyAlignment="1">
      <alignment horizontal="center" vertical="center" wrapText="1"/>
    </xf>
    <xf numFmtId="0" fontId="10" fillId="8" borderId="56" xfId="13" applyFont="1" applyFill="1" applyBorder="1" applyAlignment="1">
      <alignment horizontal="center" vertical="center" wrapText="1"/>
    </xf>
    <xf numFmtId="0" fontId="10" fillId="8" borderId="45" xfId="13" applyFont="1" applyFill="1" applyBorder="1" applyAlignment="1">
      <alignment horizontal="center" vertical="center" wrapText="1"/>
    </xf>
    <xf numFmtId="0" fontId="10" fillId="8" borderId="2" xfId="13" applyFont="1" applyFill="1" applyBorder="1" applyAlignment="1">
      <alignment horizontal="center" vertical="center" wrapText="1"/>
    </xf>
    <xf numFmtId="0" fontId="10" fillId="8" borderId="3" xfId="13" applyFont="1" applyFill="1" applyBorder="1" applyAlignment="1">
      <alignment horizontal="center" vertical="center" wrapText="1"/>
    </xf>
    <xf numFmtId="0" fontId="10" fillId="8" borderId="20" xfId="13" applyFont="1" applyFill="1" applyBorder="1" applyAlignment="1">
      <alignment horizontal="center" vertical="center" wrapText="1"/>
    </xf>
    <xf numFmtId="0" fontId="10" fillId="8" borderId="49" xfId="13" applyFont="1" applyFill="1" applyBorder="1" applyAlignment="1">
      <alignment horizontal="center" vertical="center" wrapText="1"/>
    </xf>
    <xf numFmtId="0" fontId="10" fillId="8" borderId="4" xfId="13" applyFont="1" applyFill="1" applyBorder="1" applyAlignment="1">
      <alignment horizontal="center" vertical="center" wrapText="1"/>
    </xf>
    <xf numFmtId="0" fontId="10" fillId="8" borderId="208" xfId="13" applyFont="1" applyFill="1" applyBorder="1" applyAlignment="1">
      <alignment horizontal="center" vertical="center" wrapText="1"/>
    </xf>
    <xf numFmtId="0" fontId="10" fillId="8" borderId="0" xfId="13" applyFont="1" applyFill="1" applyAlignment="1">
      <alignment horizontal="center" vertical="center" wrapText="1"/>
    </xf>
    <xf numFmtId="0" fontId="10" fillId="8" borderId="50" xfId="13" applyFont="1" applyFill="1" applyBorder="1" applyAlignment="1">
      <alignment horizontal="center" vertical="center" wrapText="1"/>
    </xf>
    <xf numFmtId="0" fontId="26" fillId="8" borderId="2" xfId="13" applyFont="1" applyFill="1" applyBorder="1" applyAlignment="1">
      <alignment horizontal="center" vertical="center" wrapText="1"/>
    </xf>
    <xf numFmtId="0" fontId="26" fillId="8" borderId="3" xfId="13" applyFont="1" applyFill="1" applyBorder="1" applyAlignment="1">
      <alignment horizontal="center" vertical="center" wrapText="1"/>
    </xf>
    <xf numFmtId="0" fontId="26" fillId="8" borderId="4" xfId="13" applyFont="1" applyFill="1" applyBorder="1" applyAlignment="1">
      <alignment horizontal="center" vertical="center" wrapText="1"/>
    </xf>
    <xf numFmtId="0" fontId="26" fillId="8" borderId="20" xfId="13" applyFont="1" applyFill="1" applyBorder="1" applyAlignment="1">
      <alignment horizontal="center" vertical="center" wrapText="1"/>
    </xf>
    <xf numFmtId="0" fontId="10" fillId="8" borderId="49" xfId="13" applyFont="1" applyFill="1" applyBorder="1" applyAlignment="1">
      <alignment horizontal="center" vertical="center" wrapText="1"/>
    </xf>
    <xf numFmtId="0" fontId="26" fillId="8" borderId="47" xfId="13" applyFont="1" applyFill="1" applyBorder="1" applyAlignment="1">
      <alignment horizontal="center" vertical="center" wrapText="1"/>
    </xf>
    <xf numFmtId="0" fontId="10" fillId="8" borderId="51" xfId="13" applyFont="1" applyFill="1" applyBorder="1" applyAlignment="1">
      <alignment horizontal="center" vertical="center" wrapText="1"/>
    </xf>
    <xf numFmtId="0" fontId="10" fillId="8" borderId="154" xfId="13" applyFont="1" applyFill="1" applyBorder="1" applyAlignment="1">
      <alignment horizontal="center" vertical="center" wrapText="1"/>
    </xf>
    <xf numFmtId="0" fontId="45" fillId="8" borderId="51" xfId="13" applyFont="1" applyFill="1" applyBorder="1" applyAlignment="1">
      <alignment horizontal="center" vertical="center" wrapText="1"/>
    </xf>
    <xf numFmtId="0" fontId="6" fillId="8" borderId="154" xfId="13" applyFont="1" applyFill="1" applyBorder="1" applyAlignment="1">
      <alignment horizontal="center" vertical="center" wrapText="1"/>
    </xf>
    <xf numFmtId="0" fontId="26" fillId="8" borderId="1" xfId="13" applyFont="1" applyFill="1" applyBorder="1" applyAlignment="1">
      <alignment horizontal="center" vertical="center" wrapText="1"/>
    </xf>
    <xf numFmtId="176" fontId="26" fillId="8" borderId="1" xfId="13" applyNumberFormat="1" applyFont="1" applyFill="1" applyBorder="1" applyAlignment="1">
      <alignment horizontal="center" vertical="center" wrapText="1"/>
    </xf>
    <xf numFmtId="38" fontId="26" fillId="8" borderId="1" xfId="13" applyNumberFormat="1" applyFont="1" applyFill="1" applyBorder="1" applyAlignment="1">
      <alignment horizontal="center" vertical="center" wrapText="1"/>
    </xf>
    <xf numFmtId="176" fontId="26" fillId="8" borderId="21" xfId="13" applyNumberFormat="1" applyFont="1" applyFill="1" applyBorder="1" applyAlignment="1">
      <alignment horizontal="center" vertical="center" wrapText="1"/>
    </xf>
    <xf numFmtId="0" fontId="10" fillId="8" borderId="38" xfId="13" applyFont="1" applyFill="1" applyBorder="1" applyAlignment="1">
      <alignment horizontal="center" vertical="center" wrapText="1"/>
    </xf>
    <xf numFmtId="38" fontId="10" fillId="0" borderId="53" xfId="17" applyFont="1" applyFill="1" applyBorder="1">
      <alignment vertical="center"/>
    </xf>
    <xf numFmtId="38" fontId="10" fillId="0" borderId="189" xfId="17" applyFont="1" applyFill="1" applyBorder="1">
      <alignment vertical="center"/>
    </xf>
    <xf numFmtId="38" fontId="10" fillId="0" borderId="49" xfId="13" applyNumberFormat="1" applyFont="1" applyBorder="1">
      <alignment vertical="center"/>
    </xf>
    <xf numFmtId="38" fontId="10" fillId="0" borderId="347" xfId="13" applyNumberFormat="1" applyFont="1" applyBorder="1">
      <alignment vertical="center"/>
    </xf>
    <xf numFmtId="38" fontId="10" fillId="0" borderId="353" xfId="13" applyNumberFormat="1" applyFont="1" applyBorder="1">
      <alignment vertical="center"/>
    </xf>
    <xf numFmtId="38" fontId="10" fillId="12" borderId="351" xfId="1" applyFont="1" applyFill="1" applyBorder="1" applyProtection="1">
      <alignment vertical="center"/>
    </xf>
    <xf numFmtId="38" fontId="10" fillId="2" borderId="326" xfId="17" applyFont="1" applyFill="1" applyBorder="1">
      <alignment vertical="center"/>
    </xf>
    <xf numFmtId="38" fontId="10" fillId="2" borderId="184" xfId="17" applyFont="1" applyFill="1" applyBorder="1">
      <alignment vertical="center"/>
    </xf>
    <xf numFmtId="38" fontId="10" fillId="2" borderId="55" xfId="17" applyFont="1" applyFill="1" applyBorder="1">
      <alignment vertical="center"/>
    </xf>
    <xf numFmtId="38" fontId="10" fillId="0" borderId="0" xfId="50" applyFont="1" applyBorder="1" applyProtection="1">
      <alignment vertical="center"/>
    </xf>
    <xf numFmtId="40" fontId="10" fillId="0" borderId="0" xfId="50" applyNumberFormat="1" applyFont="1" applyBorder="1" applyProtection="1">
      <alignment vertical="center"/>
    </xf>
    <xf numFmtId="38" fontId="10" fillId="0" borderId="0" xfId="50" applyFont="1" applyProtection="1">
      <alignment vertical="center"/>
    </xf>
    <xf numFmtId="176" fontId="51" fillId="8" borderId="1" xfId="13" applyNumberFormat="1" applyFont="1" applyFill="1" applyBorder="1" applyAlignment="1">
      <alignment horizontal="center" vertical="center" wrapText="1"/>
    </xf>
    <xf numFmtId="0" fontId="10" fillId="0" borderId="326" xfId="13" applyFont="1" applyBorder="1">
      <alignment vertical="center"/>
    </xf>
    <xf numFmtId="0" fontId="10" fillId="0" borderId="184" xfId="13" applyFont="1" applyBorder="1">
      <alignment vertical="center"/>
    </xf>
    <xf numFmtId="176" fontId="10" fillId="0" borderId="184" xfId="13" applyNumberFormat="1" applyFont="1" applyBorder="1">
      <alignment vertical="center"/>
    </xf>
    <xf numFmtId="176" fontId="10" fillId="0" borderId="326" xfId="13" applyNumberFormat="1" applyFont="1" applyBorder="1">
      <alignment vertical="center"/>
    </xf>
    <xf numFmtId="38" fontId="7" fillId="0" borderId="0" xfId="1" applyFont="1" applyFill="1">
      <alignment vertical="center"/>
    </xf>
    <xf numFmtId="181" fontId="10" fillId="0" borderId="326" xfId="52" applyNumberFormat="1" applyFont="1" applyFill="1" applyBorder="1" applyAlignment="1">
      <alignment horizontal="right" vertical="center"/>
    </xf>
    <xf numFmtId="181" fontId="10" fillId="0" borderId="326" xfId="52" applyNumberFormat="1" applyFont="1" applyFill="1" applyBorder="1">
      <alignment vertical="center"/>
    </xf>
    <xf numFmtId="181" fontId="10" fillId="0" borderId="328" xfId="52" applyNumberFormat="1" applyFont="1" applyFill="1" applyBorder="1" applyAlignment="1">
      <alignment horizontal="right" vertical="center"/>
    </xf>
    <xf numFmtId="181" fontId="10" fillId="0" borderId="328" xfId="52" applyNumberFormat="1" applyFont="1" applyFill="1" applyBorder="1">
      <alignment vertical="center"/>
    </xf>
    <xf numFmtId="181" fontId="10" fillId="0" borderId="323" xfId="52" applyNumberFormat="1" applyFont="1" applyFill="1" applyBorder="1" applyAlignment="1">
      <alignment horizontal="right" vertical="center"/>
    </xf>
    <xf numFmtId="181" fontId="10" fillId="0" borderId="323" xfId="52" applyNumberFormat="1" applyFont="1" applyFill="1" applyBorder="1">
      <alignment vertical="center"/>
    </xf>
    <xf numFmtId="181" fontId="10" fillId="0" borderId="178" xfId="52" applyNumberFormat="1" applyFont="1" applyFill="1" applyBorder="1" applyAlignment="1">
      <alignment horizontal="right" vertical="center"/>
    </xf>
    <xf numFmtId="181" fontId="10" fillId="0" borderId="178" xfId="52" applyNumberFormat="1" applyFont="1" applyFill="1" applyBorder="1">
      <alignment vertical="center"/>
    </xf>
    <xf numFmtId="181" fontId="10" fillId="0" borderId="53" xfId="52" applyNumberFormat="1" applyFont="1" applyFill="1" applyBorder="1" applyAlignment="1">
      <alignment horizontal="right" vertical="center"/>
    </xf>
    <xf numFmtId="181" fontId="10" fillId="0" borderId="53" xfId="52" applyNumberFormat="1" applyFont="1" applyFill="1" applyBorder="1">
      <alignment vertical="center"/>
    </xf>
    <xf numFmtId="181" fontId="10" fillId="0" borderId="1" xfId="52" applyNumberFormat="1" applyFont="1" applyFill="1" applyBorder="1" applyAlignment="1">
      <alignment horizontal="right" vertical="center"/>
    </xf>
    <xf numFmtId="181" fontId="10" fillId="0" borderId="1" xfId="52" applyNumberFormat="1" applyFont="1" applyFill="1" applyBorder="1">
      <alignment vertical="center"/>
    </xf>
    <xf numFmtId="181" fontId="10" fillId="0" borderId="55" xfId="52" applyNumberFormat="1" applyFont="1" applyFill="1" applyBorder="1" applyAlignment="1">
      <alignment horizontal="right" vertical="center"/>
    </xf>
    <xf numFmtId="181" fontId="10" fillId="0" borderId="55" xfId="52" applyNumberFormat="1" applyFont="1" applyFill="1" applyBorder="1">
      <alignment vertical="center"/>
    </xf>
    <xf numFmtId="181" fontId="10" fillId="0" borderId="184" xfId="52" applyNumberFormat="1" applyFont="1" applyFill="1" applyBorder="1" applyAlignment="1">
      <alignment horizontal="right" vertical="center"/>
    </xf>
    <xf numFmtId="181" fontId="10" fillId="0" borderId="184" xfId="52" applyNumberFormat="1" applyFont="1" applyFill="1" applyBorder="1">
      <alignment vertical="center"/>
    </xf>
    <xf numFmtId="10" fontId="10" fillId="12" borderId="336" xfId="52" applyNumberFormat="1" applyFont="1" applyFill="1" applyBorder="1" applyAlignment="1" applyProtection="1">
      <alignment horizontal="right" vertical="center"/>
    </xf>
    <xf numFmtId="181" fontId="10" fillId="12" borderId="336" xfId="52" applyNumberFormat="1" applyFont="1" applyFill="1" applyBorder="1" applyProtection="1">
      <alignment vertical="center"/>
    </xf>
    <xf numFmtId="181" fontId="10" fillId="0" borderId="339" xfId="52" applyNumberFormat="1" applyFont="1" applyFill="1" applyBorder="1" applyAlignment="1">
      <alignment horizontal="right" vertical="center"/>
    </xf>
    <xf numFmtId="181" fontId="10" fillId="0" borderId="339" xfId="52" applyNumberFormat="1" applyFont="1" applyFill="1" applyBorder="1">
      <alignment vertical="center"/>
    </xf>
    <xf numFmtId="181" fontId="10" fillId="12" borderId="178" xfId="52" applyNumberFormat="1" applyFont="1" applyFill="1" applyBorder="1" applyProtection="1">
      <alignment vertical="center"/>
    </xf>
    <xf numFmtId="181" fontId="10" fillId="0" borderId="55" xfId="52" applyNumberFormat="1" applyFont="1" applyFill="1" applyBorder="1" applyAlignment="1" applyProtection="1">
      <alignment horizontal="right" vertical="center"/>
    </xf>
    <xf numFmtId="181" fontId="10" fillId="0" borderId="55" xfId="52" applyNumberFormat="1" applyFont="1" applyFill="1" applyBorder="1" applyProtection="1">
      <alignment vertical="center"/>
    </xf>
    <xf numFmtId="181" fontId="10" fillId="0" borderId="359" xfId="52" applyNumberFormat="1" applyFont="1" applyFill="1" applyBorder="1" applyAlignment="1">
      <alignment horizontal="right" vertical="center"/>
    </xf>
    <xf numFmtId="181" fontId="10" fillId="0" borderId="359" xfId="52" applyNumberFormat="1" applyFont="1" applyFill="1" applyBorder="1">
      <alignment vertical="center"/>
    </xf>
    <xf numFmtId="181" fontId="10" fillId="0" borderId="28" xfId="52" applyNumberFormat="1" applyFont="1" applyFill="1" applyBorder="1" applyAlignment="1">
      <alignment horizontal="right" vertical="center"/>
    </xf>
    <xf numFmtId="181" fontId="10" fillId="0" borderId="28" xfId="52" applyNumberFormat="1" applyFont="1" applyFill="1" applyBorder="1">
      <alignment vertical="center"/>
    </xf>
    <xf numFmtId="181" fontId="10" fillId="0" borderId="28" xfId="52" applyNumberFormat="1" applyFont="1" applyFill="1" applyBorder="1" applyAlignment="1">
      <alignment horizontal="center" vertical="center"/>
    </xf>
    <xf numFmtId="181" fontId="10" fillId="0" borderId="184" xfId="52" applyNumberFormat="1" applyFont="1" applyFill="1" applyBorder="1" applyAlignment="1" applyProtection="1">
      <alignment horizontal="right" vertical="center"/>
    </xf>
    <xf numFmtId="181" fontId="10" fillId="0" borderId="184" xfId="52" applyNumberFormat="1" applyFont="1" applyFill="1" applyBorder="1" applyProtection="1">
      <alignment vertical="center"/>
    </xf>
    <xf numFmtId="181" fontId="10" fillId="0" borderId="189" xfId="52" applyNumberFormat="1" applyFont="1" applyFill="1" applyBorder="1" applyAlignment="1">
      <alignment horizontal="right" vertical="center"/>
    </xf>
    <xf numFmtId="181" fontId="10" fillId="0" borderId="189" xfId="52" applyNumberFormat="1" applyFont="1" applyFill="1" applyBorder="1">
      <alignment vertical="center"/>
    </xf>
    <xf numFmtId="181" fontId="10" fillId="0" borderId="1" xfId="52" applyNumberFormat="1" applyFont="1" applyFill="1" applyBorder="1" applyAlignment="1" applyProtection="1">
      <alignment horizontal="right" vertical="center"/>
    </xf>
    <xf numFmtId="181" fontId="10" fillId="0" borderId="1" xfId="52" applyNumberFormat="1" applyFont="1" applyFill="1" applyBorder="1" applyProtection="1">
      <alignment vertical="center"/>
    </xf>
    <xf numFmtId="181" fontId="10" fillId="8" borderId="55" xfId="52" applyNumberFormat="1" applyFont="1" applyFill="1" applyBorder="1" applyAlignment="1" applyProtection="1">
      <alignment horizontal="right" vertical="center"/>
    </xf>
    <xf numFmtId="181" fontId="10" fillId="8" borderId="55" xfId="52" applyNumberFormat="1" applyFont="1" applyFill="1" applyBorder="1" applyProtection="1">
      <alignment vertical="center"/>
    </xf>
    <xf numFmtId="181" fontId="8" fillId="0" borderId="0" xfId="52" applyNumberFormat="1" applyFont="1" applyProtection="1">
      <alignment vertical="center"/>
    </xf>
    <xf numFmtId="181" fontId="10" fillId="4" borderId="1" xfId="52" applyNumberFormat="1" applyFont="1" applyFill="1" applyBorder="1" applyAlignment="1" applyProtection="1">
      <alignment horizontal="center" vertical="center" wrapText="1"/>
    </xf>
    <xf numFmtId="181" fontId="10" fillId="12" borderId="336" xfId="52" applyNumberFormat="1" applyFont="1" applyFill="1" applyBorder="1" applyAlignment="1" applyProtection="1">
      <alignment vertical="center" wrapText="1"/>
    </xf>
    <xf numFmtId="181" fontId="10" fillId="12" borderId="323" xfId="52" applyNumberFormat="1" applyFont="1" applyFill="1" applyBorder="1" applyProtection="1">
      <alignment vertical="center"/>
    </xf>
    <xf numFmtId="181" fontId="10" fillId="12" borderId="323" xfId="52" applyNumberFormat="1" applyFont="1" applyFill="1" applyBorder="1" applyAlignment="1" applyProtection="1">
      <alignment horizontal="right" vertical="center"/>
    </xf>
    <xf numFmtId="38" fontId="10" fillId="0" borderId="0" xfId="2" applyFont="1" applyFill="1" applyProtection="1">
      <alignment vertical="center"/>
      <protection locked="0"/>
    </xf>
    <xf numFmtId="181" fontId="10" fillId="12" borderId="323" xfId="52" applyNumberFormat="1" applyFont="1" applyFill="1" applyBorder="1">
      <alignment vertical="center"/>
    </xf>
    <xf numFmtId="181" fontId="10" fillId="12" borderId="323" xfId="52" applyNumberFormat="1" applyFont="1" applyFill="1" applyBorder="1" applyAlignment="1">
      <alignment horizontal="right" vertical="center"/>
    </xf>
    <xf numFmtId="181" fontId="10" fillId="0" borderId="178" xfId="52" applyNumberFormat="1" applyFont="1" applyFill="1" applyBorder="1" applyProtection="1">
      <alignment vertical="center"/>
    </xf>
    <xf numFmtId="181" fontId="10" fillId="0" borderId="178" xfId="52" applyNumberFormat="1" applyFont="1" applyFill="1" applyBorder="1" applyAlignment="1" applyProtection="1">
      <alignment horizontal="right" vertical="center"/>
    </xf>
    <xf numFmtId="181" fontId="10" fillId="12" borderId="334" xfId="52" applyNumberFormat="1" applyFont="1" applyFill="1" applyBorder="1" applyAlignment="1" applyProtection="1">
      <alignment vertical="center" wrapText="1"/>
    </xf>
    <xf numFmtId="181" fontId="10" fillId="0" borderId="323" xfId="52" applyNumberFormat="1" applyFont="1" applyFill="1" applyBorder="1" applyProtection="1">
      <alignment vertical="center"/>
    </xf>
    <xf numFmtId="181" fontId="10" fillId="0" borderId="323" xfId="52" applyNumberFormat="1" applyFont="1" applyFill="1" applyBorder="1" applyAlignment="1" applyProtection="1">
      <alignment horizontal="right" vertical="center"/>
    </xf>
    <xf numFmtId="38" fontId="10" fillId="12" borderId="323" xfId="2" applyFont="1" applyFill="1" applyBorder="1" applyAlignment="1">
      <alignment horizontal="right" vertical="center"/>
    </xf>
    <xf numFmtId="181" fontId="26" fillId="0" borderId="0" xfId="52" applyNumberFormat="1" applyFont="1" applyProtection="1">
      <alignment vertical="center"/>
    </xf>
    <xf numFmtId="38" fontId="10" fillId="0" borderId="326" xfId="2" applyFont="1" applyFill="1" applyBorder="1" applyProtection="1">
      <alignment vertical="center"/>
    </xf>
    <xf numFmtId="38" fontId="32" fillId="12" borderId="323" xfId="2" applyFont="1" applyFill="1" applyBorder="1" applyAlignment="1" applyProtection="1">
      <alignment vertical="center"/>
    </xf>
    <xf numFmtId="38" fontId="32" fillId="12" borderId="323" xfId="2" applyFont="1" applyFill="1" applyBorder="1" applyAlignment="1" applyProtection="1">
      <alignment horizontal="right" vertical="center"/>
    </xf>
    <xf numFmtId="0" fontId="55" fillId="0" borderId="326" xfId="0" applyFont="1" applyBorder="1">
      <alignment vertical="center"/>
    </xf>
    <xf numFmtId="0" fontId="55" fillId="0" borderId="323" xfId="0" applyFont="1" applyBorder="1">
      <alignment vertical="center"/>
    </xf>
    <xf numFmtId="0" fontId="55" fillId="0" borderId="178" xfId="0" applyFont="1" applyBorder="1">
      <alignment vertical="center"/>
    </xf>
    <xf numFmtId="38" fontId="10" fillId="0" borderId="339" xfId="2" applyFont="1" applyFill="1" applyBorder="1" applyAlignment="1">
      <alignment horizontal="right" vertical="center"/>
    </xf>
    <xf numFmtId="38" fontId="10" fillId="0" borderId="53" xfId="2" applyFont="1" applyFill="1" applyBorder="1" applyAlignment="1">
      <alignment horizontal="right" vertical="center"/>
    </xf>
    <xf numFmtId="38" fontId="32" fillId="12" borderId="323" xfId="2" applyFont="1" applyFill="1" applyBorder="1" applyAlignment="1">
      <alignment horizontal="right" vertical="center"/>
    </xf>
    <xf numFmtId="0" fontId="55" fillId="0" borderId="1" xfId="0" applyFont="1" applyBorder="1">
      <alignment vertical="center"/>
    </xf>
    <xf numFmtId="0" fontId="55" fillId="0" borderId="55" xfId="0" applyFont="1" applyBorder="1">
      <alignment vertical="center"/>
    </xf>
    <xf numFmtId="38" fontId="10" fillId="0" borderId="178" xfId="2" applyFont="1" applyFill="1" applyBorder="1" applyAlignment="1" applyProtection="1">
      <alignment horizontal="right" vertical="center"/>
    </xf>
    <xf numFmtId="38" fontId="10" fillId="0" borderId="184" xfId="2" applyFont="1" applyFill="1" applyBorder="1" applyAlignment="1" applyProtection="1">
      <alignment horizontal="right" vertical="center"/>
    </xf>
    <xf numFmtId="0" fontId="55" fillId="0" borderId="184" xfId="0" applyFont="1" applyBorder="1">
      <alignment vertical="center"/>
    </xf>
    <xf numFmtId="0" fontId="55" fillId="0" borderId="3" xfId="0" applyFont="1" applyBorder="1">
      <alignment vertical="center"/>
    </xf>
    <xf numFmtId="38" fontId="10" fillId="0" borderId="323" xfId="2" applyFont="1" applyFill="1" applyBorder="1" applyAlignment="1" applyProtection="1">
      <alignment horizontal="right" vertical="center"/>
    </xf>
    <xf numFmtId="38" fontId="10" fillId="0" borderId="1" xfId="2" applyFont="1" applyFill="1" applyBorder="1" applyAlignment="1" applyProtection="1">
      <alignment vertical="center"/>
    </xf>
    <xf numFmtId="38" fontId="10" fillId="0" borderId="1" xfId="2" applyFont="1" applyFill="1" applyBorder="1" applyAlignment="1" applyProtection="1">
      <alignment horizontal="right" vertical="center"/>
    </xf>
    <xf numFmtId="38" fontId="26" fillId="0" borderId="0" xfId="2" applyFont="1" applyFill="1" applyProtection="1">
      <alignment vertical="center"/>
    </xf>
    <xf numFmtId="0" fontId="8" fillId="0" borderId="0" xfId="53" applyFont="1" applyAlignment="1">
      <alignment vertical="center"/>
    </xf>
    <xf numFmtId="0" fontId="26" fillId="0" borderId="0" xfId="53" applyFont="1" applyAlignment="1">
      <alignment vertical="center"/>
    </xf>
    <xf numFmtId="0" fontId="26" fillId="0" borderId="0" xfId="53" applyFont="1" applyAlignment="1">
      <alignment vertical="center" wrapText="1"/>
    </xf>
    <xf numFmtId="0" fontId="10" fillId="0" borderId="0" xfId="53" applyFont="1" applyAlignment="1">
      <alignment vertical="center"/>
    </xf>
    <xf numFmtId="38" fontId="53" fillId="0" borderId="0" xfId="21" applyFont="1" applyBorder="1" applyAlignment="1" applyProtection="1">
      <alignment vertical="center"/>
    </xf>
    <xf numFmtId="0" fontId="10" fillId="0" borderId="0" xfId="53" applyFont="1" applyAlignment="1">
      <alignment vertical="center" wrapText="1"/>
    </xf>
    <xf numFmtId="0" fontId="47" fillId="0" borderId="0" xfId="53" applyFont="1" applyAlignment="1">
      <alignment vertical="center" wrapText="1"/>
    </xf>
    <xf numFmtId="0" fontId="47" fillId="0" borderId="0" xfId="53" applyFont="1" applyAlignment="1">
      <alignment vertical="center"/>
    </xf>
    <xf numFmtId="0" fontId="5" fillId="0" borderId="0" xfId="53"/>
    <xf numFmtId="0" fontId="10" fillId="0" borderId="47" xfId="53" applyFont="1" applyBorder="1" applyAlignment="1">
      <alignment vertical="center"/>
    </xf>
    <xf numFmtId="0" fontId="26" fillId="0" borderId="47" xfId="53" applyFont="1" applyBorder="1" applyAlignment="1">
      <alignment vertical="center"/>
    </xf>
    <xf numFmtId="0" fontId="26" fillId="0" borderId="47" xfId="53" applyFont="1" applyBorder="1" applyAlignment="1">
      <alignment vertical="center" wrapText="1"/>
    </xf>
    <xf numFmtId="38" fontId="10" fillId="0" borderId="47" xfId="21" applyFont="1" applyBorder="1" applyAlignment="1" applyProtection="1">
      <alignment vertical="center"/>
    </xf>
    <xf numFmtId="0" fontId="10" fillId="0" borderId="47" xfId="53" applyFont="1" applyBorder="1" applyAlignment="1">
      <alignment vertical="center" wrapText="1"/>
    </xf>
    <xf numFmtId="0" fontId="47" fillId="0" borderId="47" xfId="53" applyFont="1" applyBorder="1" applyAlignment="1">
      <alignment vertical="center" wrapText="1"/>
    </xf>
    <xf numFmtId="0" fontId="47" fillId="0" borderId="47" xfId="53" applyFont="1" applyBorder="1" applyAlignment="1">
      <alignment vertical="center"/>
    </xf>
    <xf numFmtId="0" fontId="10" fillId="4" borderId="1" xfId="53" applyFont="1" applyFill="1" applyBorder="1" applyAlignment="1">
      <alignment horizontal="center" vertical="center" wrapText="1"/>
    </xf>
    <xf numFmtId="0" fontId="10" fillId="4" borderId="28" xfId="53" applyFont="1" applyFill="1" applyBorder="1" applyAlignment="1">
      <alignment horizontal="center" vertical="center" wrapText="1"/>
    </xf>
    <xf numFmtId="38" fontId="10" fillId="4" borderId="1" xfId="21" applyFont="1" applyFill="1" applyBorder="1" applyAlignment="1" applyProtection="1">
      <alignment horizontal="center" vertical="center" wrapText="1"/>
    </xf>
    <xf numFmtId="0" fontId="32" fillId="4" borderId="28" xfId="53" applyFont="1" applyFill="1" applyBorder="1" applyAlignment="1">
      <alignment horizontal="center" vertical="center" wrapText="1"/>
    </xf>
    <xf numFmtId="0" fontId="5" fillId="0" borderId="0" xfId="53" applyAlignment="1">
      <alignment horizontal="center" vertical="center" wrapText="1"/>
    </xf>
    <xf numFmtId="0" fontId="10" fillId="4" borderId="55" xfId="53" applyFont="1" applyFill="1" applyBorder="1" applyAlignment="1">
      <alignment horizontal="center" vertical="center" wrapText="1"/>
    </xf>
    <xf numFmtId="38" fontId="10" fillId="4" borderId="1" xfId="21" applyFont="1" applyFill="1" applyBorder="1" applyAlignment="1" applyProtection="1">
      <alignment horizontal="center" vertical="center" wrapText="1"/>
    </xf>
    <xf numFmtId="0" fontId="10" fillId="4" borderId="1" xfId="53" applyFont="1" applyFill="1" applyBorder="1" applyAlignment="1">
      <alignment horizontal="center" vertical="center" wrapText="1"/>
    </xf>
    <xf numFmtId="0" fontId="32" fillId="4" borderId="1" xfId="53" applyFont="1" applyFill="1" applyBorder="1" applyAlignment="1">
      <alignment horizontal="center" vertical="center" wrapText="1"/>
    </xf>
    <xf numFmtId="0" fontId="32" fillId="4" borderId="55" xfId="53" applyFont="1" applyFill="1" applyBorder="1" applyAlignment="1">
      <alignment horizontal="center" vertical="center" wrapText="1"/>
    </xf>
    <xf numFmtId="0" fontId="26" fillId="0" borderId="1" xfId="53" applyFont="1" applyBorder="1" applyAlignment="1" applyProtection="1">
      <alignment vertical="center"/>
      <protection locked="0"/>
    </xf>
    <xf numFmtId="0" fontId="26" fillId="0" borderId="1" xfId="53" applyFont="1" applyBorder="1" applyAlignment="1">
      <alignment vertical="center" wrapText="1"/>
    </xf>
    <xf numFmtId="0" fontId="26" fillId="2" borderId="2" xfId="53" applyFont="1" applyFill="1" applyBorder="1" applyAlignment="1">
      <alignment horizontal="center" vertical="center" wrapText="1"/>
    </xf>
    <xf numFmtId="57" fontId="10" fillId="2" borderId="84" xfId="53" applyNumberFormat="1" applyFont="1" applyFill="1" applyBorder="1" applyAlignment="1" applyProtection="1">
      <alignment horizontal="left" vertical="center"/>
      <protection locked="0"/>
    </xf>
    <xf numFmtId="0" fontId="10" fillId="0" borderId="1" xfId="53" applyFont="1" applyBorder="1" applyAlignment="1" applyProtection="1">
      <alignment vertical="center"/>
      <protection locked="0"/>
    </xf>
    <xf numFmtId="176" fontId="10" fillId="2" borderId="1" xfId="21" applyNumberFormat="1" applyFont="1" applyFill="1" applyBorder="1" applyAlignment="1" applyProtection="1">
      <alignment vertical="center"/>
      <protection locked="0"/>
    </xf>
    <xf numFmtId="0" fontId="10" fillId="2" borderId="1" xfId="53" applyFont="1" applyFill="1" applyBorder="1" applyAlignment="1" applyProtection="1">
      <alignment vertical="center"/>
      <protection locked="0"/>
    </xf>
    <xf numFmtId="0" fontId="26" fillId="0" borderId="2" xfId="53" applyFont="1" applyBorder="1" applyAlignment="1" applyProtection="1">
      <alignment vertical="center"/>
      <protection locked="0"/>
    </xf>
    <xf numFmtId="0" fontId="26" fillId="0" borderId="1" xfId="53" applyFont="1" applyBorder="1" applyAlignment="1" applyProtection="1">
      <alignment vertical="center" wrapText="1"/>
      <protection locked="0"/>
    </xf>
    <xf numFmtId="0" fontId="10" fillId="2" borderId="86" xfId="53" applyFont="1" applyFill="1" applyBorder="1" applyAlignment="1" applyProtection="1">
      <alignment vertical="center"/>
      <protection locked="0"/>
    </xf>
    <xf numFmtId="0" fontId="32" fillId="0" borderId="1" xfId="53" applyFont="1" applyBorder="1" applyAlignment="1" applyProtection="1">
      <alignment vertical="center"/>
      <protection locked="0"/>
    </xf>
    <xf numFmtId="0" fontId="5" fillId="0" borderId="0" xfId="53" applyAlignment="1">
      <alignment vertical="center" wrapText="1"/>
    </xf>
    <xf numFmtId="57" fontId="10" fillId="0" borderId="84" xfId="53" applyNumberFormat="1" applyFont="1" applyBorder="1" applyAlignment="1" applyProtection="1">
      <alignment horizontal="left" vertical="center"/>
      <protection locked="0"/>
    </xf>
    <xf numFmtId="0" fontId="26" fillId="0" borderId="2" xfId="53" applyFont="1" applyBorder="1" applyAlignment="1" applyProtection="1">
      <alignment vertical="center" wrapText="1" shrinkToFit="1"/>
      <protection locked="0"/>
    </xf>
    <xf numFmtId="0" fontId="26" fillId="0" borderId="2" xfId="53" applyFont="1" applyBorder="1" applyAlignment="1" applyProtection="1">
      <alignment vertical="center" wrapText="1"/>
      <protection locked="0"/>
    </xf>
    <xf numFmtId="0" fontId="26" fillId="0" borderId="2" xfId="53" applyFont="1" applyBorder="1" applyAlignment="1" applyProtection="1">
      <alignment vertical="center" shrinkToFit="1"/>
      <protection locked="0"/>
    </xf>
    <xf numFmtId="0" fontId="26" fillId="0" borderId="2" xfId="53" applyFont="1" applyBorder="1" applyAlignment="1">
      <alignment horizontal="center" vertical="center" wrapText="1"/>
    </xf>
    <xf numFmtId="0" fontId="26" fillId="0" borderId="1" xfId="53" applyFont="1" applyBorder="1" applyAlignment="1">
      <alignment horizontal="center" vertical="center" wrapText="1"/>
    </xf>
    <xf numFmtId="57" fontId="10" fillId="2" borderId="1" xfId="53" applyNumberFormat="1" applyFont="1" applyFill="1" applyBorder="1" applyAlignment="1" applyProtection="1">
      <alignment horizontal="left" vertical="center"/>
      <protection locked="0"/>
    </xf>
    <xf numFmtId="0" fontId="7" fillId="0" borderId="0" xfId="53" applyFont="1" applyAlignment="1">
      <alignment horizontal="left" vertical="center" wrapText="1"/>
    </xf>
    <xf numFmtId="57" fontId="10" fillId="2" borderId="2" xfId="53" applyNumberFormat="1" applyFont="1" applyFill="1" applyBorder="1" applyAlignment="1" applyProtection="1">
      <alignment horizontal="left" vertical="center"/>
      <protection locked="0"/>
    </xf>
    <xf numFmtId="193" fontId="10" fillId="2" borderId="2" xfId="53" applyNumberFormat="1" applyFont="1" applyFill="1" applyBorder="1" applyAlignment="1" applyProtection="1">
      <alignment horizontal="left" vertical="center" wrapText="1"/>
      <protection locked="0"/>
    </xf>
    <xf numFmtId="176" fontId="10" fillId="2" borderId="1" xfId="21" applyNumberFormat="1" applyFont="1" applyFill="1" applyBorder="1" applyAlignment="1" applyProtection="1">
      <alignment vertical="center" wrapText="1"/>
      <protection locked="0"/>
    </xf>
    <xf numFmtId="0" fontId="10" fillId="2" borderId="1" xfId="53" applyFont="1" applyFill="1" applyBorder="1" applyAlignment="1" applyProtection="1">
      <alignment vertical="center" wrapText="1"/>
      <protection locked="0"/>
    </xf>
    <xf numFmtId="0" fontId="10" fillId="2" borderId="86" xfId="53" applyFont="1" applyFill="1" applyBorder="1" applyAlignment="1" applyProtection="1">
      <alignment vertical="center" wrapText="1"/>
      <protection locked="0"/>
    </xf>
    <xf numFmtId="0" fontId="32" fillId="0" borderId="1" xfId="53" applyFont="1" applyBorder="1" applyAlignment="1" applyProtection="1">
      <alignment vertical="center" wrapText="1"/>
      <protection locked="0"/>
    </xf>
    <xf numFmtId="0" fontId="26" fillId="2" borderId="2" xfId="53" applyFont="1" applyFill="1" applyBorder="1" applyAlignment="1" applyProtection="1">
      <alignment horizontal="center" vertical="center" wrapText="1"/>
      <protection locked="0"/>
    </xf>
    <xf numFmtId="176" fontId="10" fillId="2" borderId="1" xfId="53" applyNumberFormat="1" applyFont="1" applyFill="1" applyBorder="1" applyAlignment="1" applyProtection="1">
      <alignment horizontal="right" vertical="center"/>
      <protection locked="0"/>
    </xf>
    <xf numFmtId="0" fontId="26" fillId="2" borderId="1" xfId="53" applyFont="1" applyFill="1" applyBorder="1" applyAlignment="1" applyProtection="1">
      <alignment horizontal="right" vertical="center"/>
      <protection locked="0"/>
    </xf>
    <xf numFmtId="193" fontId="10" fillId="0" borderId="84" xfId="53" applyNumberFormat="1" applyFont="1" applyBorder="1" applyAlignment="1" applyProtection="1">
      <alignment horizontal="left" vertical="center" wrapText="1"/>
      <protection locked="0"/>
    </xf>
    <xf numFmtId="176" fontId="10" fillId="0" borderId="1" xfId="21" applyNumberFormat="1" applyFont="1" applyFill="1" applyBorder="1" applyAlignment="1" applyProtection="1">
      <alignment vertical="center" wrapText="1"/>
      <protection locked="0"/>
    </xf>
    <xf numFmtId="0" fontId="10" fillId="0" borderId="1" xfId="53" applyFont="1" applyBorder="1" applyAlignment="1" applyProtection="1">
      <alignment vertical="center" wrapText="1"/>
      <protection locked="0"/>
    </xf>
    <xf numFmtId="0" fontId="56" fillId="0" borderId="2" xfId="53" applyFont="1" applyBorder="1" applyAlignment="1" applyProtection="1">
      <alignment vertical="center" wrapText="1"/>
      <protection locked="0"/>
    </xf>
    <xf numFmtId="0" fontId="10" fillId="0" borderId="86" xfId="53" applyFont="1" applyBorder="1" applyAlignment="1" applyProtection="1">
      <alignment vertical="center" wrapText="1"/>
      <protection locked="0"/>
    </xf>
    <xf numFmtId="0" fontId="56" fillId="0" borderId="1" xfId="53" applyFont="1" applyBorder="1" applyAlignment="1" applyProtection="1">
      <alignment vertical="center" wrapText="1"/>
      <protection locked="0"/>
    </xf>
    <xf numFmtId="0" fontId="26" fillId="2" borderId="1" xfId="53" applyFont="1" applyFill="1" applyBorder="1" applyAlignment="1">
      <alignment horizontal="center" vertical="center" wrapText="1"/>
    </xf>
    <xf numFmtId="0" fontId="26" fillId="0" borderId="2" xfId="53" applyFont="1" applyBorder="1" applyAlignment="1" applyProtection="1">
      <alignment horizontal="left" vertical="center" wrapText="1"/>
      <protection locked="0"/>
    </xf>
    <xf numFmtId="0" fontId="26" fillId="0" borderId="1" xfId="53" applyFont="1" applyBorder="1" applyAlignment="1" applyProtection="1">
      <alignment horizontal="left" vertical="center" wrapText="1"/>
      <protection locked="0"/>
    </xf>
    <xf numFmtId="38" fontId="10" fillId="0" borderId="1" xfId="21" applyFont="1" applyBorder="1" applyAlignment="1" applyProtection="1">
      <alignment vertical="center" shrinkToFit="1"/>
      <protection locked="0"/>
    </xf>
    <xf numFmtId="0" fontId="10" fillId="0" borderId="1" xfId="53" applyFont="1" applyBorder="1" applyAlignment="1" applyProtection="1">
      <alignment vertical="center" shrinkToFit="1"/>
      <protection locked="0"/>
    </xf>
    <xf numFmtId="0" fontId="26" fillId="2" borderId="1" xfId="53" applyFont="1" applyFill="1" applyBorder="1" applyAlignment="1">
      <alignment horizontal="center" vertical="center"/>
    </xf>
    <xf numFmtId="0" fontId="26" fillId="0" borderId="1" xfId="53" applyFont="1" applyBorder="1" applyAlignment="1" applyProtection="1">
      <alignment vertical="center" shrinkToFit="1"/>
      <protection locked="0"/>
    </xf>
    <xf numFmtId="38" fontId="5" fillId="0" borderId="0" xfId="53" applyNumberFormat="1" applyAlignment="1">
      <alignment vertical="center" wrapText="1"/>
    </xf>
    <xf numFmtId="0" fontId="26" fillId="0" borderId="1" xfId="53" applyFont="1" applyBorder="1" applyAlignment="1">
      <alignment vertical="center"/>
    </xf>
    <xf numFmtId="0" fontId="26" fillId="2" borderId="1" xfId="53" applyFont="1" applyFill="1" applyBorder="1" applyAlignment="1" applyProtection="1">
      <alignment horizontal="center" vertical="center" wrapText="1"/>
      <protection locked="0"/>
    </xf>
    <xf numFmtId="0" fontId="10" fillId="2" borderId="1" xfId="53" applyFont="1" applyFill="1" applyBorder="1" applyAlignment="1" applyProtection="1">
      <alignment horizontal="right" vertical="center"/>
      <protection locked="0"/>
    </xf>
    <xf numFmtId="193" fontId="10" fillId="2" borderId="84" xfId="53" applyNumberFormat="1" applyFont="1" applyFill="1" applyBorder="1" applyAlignment="1" applyProtection="1">
      <alignment horizontal="left" vertical="center" wrapText="1"/>
      <protection locked="0"/>
    </xf>
    <xf numFmtId="176" fontId="10" fillId="2" borderId="1" xfId="21" applyNumberFormat="1" applyFont="1" applyFill="1" applyBorder="1" applyAlignment="1" applyProtection="1">
      <alignment horizontal="right" vertical="center" wrapText="1"/>
      <protection locked="0"/>
    </xf>
    <xf numFmtId="0" fontId="10" fillId="2" borderId="1" xfId="53" applyFont="1" applyFill="1" applyBorder="1" applyAlignment="1" applyProtection="1">
      <alignment horizontal="right" vertical="center" wrapText="1"/>
      <protection locked="0"/>
    </xf>
    <xf numFmtId="0" fontId="10" fillId="4" borderId="1" xfId="53" applyFont="1" applyFill="1" applyBorder="1" applyAlignment="1">
      <alignment vertical="center" wrapText="1"/>
    </xf>
    <xf numFmtId="0" fontId="26" fillId="4" borderId="1" xfId="53" applyFont="1" applyFill="1" applyBorder="1" applyAlignment="1">
      <alignment vertical="center" wrapText="1"/>
    </xf>
    <xf numFmtId="0" fontId="26" fillId="4" borderId="1" xfId="53" applyFont="1" applyFill="1" applyBorder="1" applyAlignment="1">
      <alignment horizontal="center" vertical="center" wrapText="1"/>
    </xf>
    <xf numFmtId="57" fontId="10" fillId="4" borderId="1" xfId="53" applyNumberFormat="1" applyFont="1" applyFill="1" applyBorder="1" applyAlignment="1">
      <alignment vertical="center" wrapText="1"/>
    </xf>
    <xf numFmtId="38" fontId="10" fillId="4" borderId="1" xfId="21" applyFont="1" applyFill="1" applyBorder="1" applyAlignment="1" applyProtection="1">
      <alignment vertical="center" wrapText="1"/>
    </xf>
    <xf numFmtId="38" fontId="10" fillId="4" borderId="1" xfId="53" applyNumberFormat="1" applyFont="1" applyFill="1" applyBorder="1" applyAlignment="1">
      <alignment vertical="center" wrapText="1"/>
    </xf>
    <xf numFmtId="0" fontId="10" fillId="4" borderId="2" xfId="53" applyFont="1" applyFill="1" applyBorder="1" applyAlignment="1">
      <alignment vertical="center" wrapText="1"/>
    </xf>
    <xf numFmtId="0" fontId="47" fillId="4" borderId="1" xfId="53" applyFont="1" applyFill="1" applyBorder="1" applyAlignment="1">
      <alignment vertical="center" wrapText="1"/>
    </xf>
    <xf numFmtId="0" fontId="26" fillId="0" borderId="45" xfId="53" applyFont="1" applyBorder="1" applyAlignment="1">
      <alignment horizontal="left" vertical="center" wrapText="1"/>
    </xf>
    <xf numFmtId="38" fontId="5" fillId="0" borderId="0" xfId="21" applyFont="1" applyProtection="1"/>
    <xf numFmtId="0" fontId="10" fillId="0" borderId="0" xfId="53" applyFont="1"/>
    <xf numFmtId="0" fontId="10" fillId="0" borderId="0" xfId="53" applyFont="1" applyAlignment="1">
      <alignment wrapText="1"/>
    </xf>
    <xf numFmtId="0" fontId="50" fillId="0" borderId="0" xfId="53" applyFont="1" applyAlignment="1">
      <alignment wrapText="1"/>
    </xf>
    <xf numFmtId="0" fontId="47" fillId="0" borderId="0" xfId="53" applyFont="1"/>
    <xf numFmtId="0" fontId="8" fillId="0" borderId="0" xfId="54" applyFont="1" applyAlignment="1">
      <alignment vertical="center"/>
    </xf>
    <xf numFmtId="0" fontId="57" fillId="0" borderId="0" xfId="54" applyFont="1" applyAlignment="1">
      <alignment vertical="center"/>
    </xf>
    <xf numFmtId="12" fontId="8" fillId="0" borderId="0" xfId="54" applyNumberFormat="1" applyFont="1" applyAlignment="1">
      <alignment vertical="center"/>
    </xf>
    <xf numFmtId="3" fontId="8" fillId="0" borderId="0" xfId="54" applyNumberFormat="1" applyFont="1" applyAlignment="1">
      <alignment vertical="center"/>
    </xf>
    <xf numFmtId="0" fontId="5" fillId="0" borderId="0" xfId="54" applyAlignment="1">
      <alignment vertical="center"/>
    </xf>
    <xf numFmtId="0" fontId="5" fillId="0" borderId="0" xfId="54"/>
    <xf numFmtId="0" fontId="7" fillId="13" borderId="1" xfId="54" applyFont="1" applyFill="1" applyBorder="1" applyAlignment="1">
      <alignment horizontal="center" vertical="center" wrapText="1" shrinkToFit="1"/>
    </xf>
    <xf numFmtId="0" fontId="7" fillId="13" borderId="1" xfId="54" applyFont="1" applyFill="1" applyBorder="1" applyAlignment="1">
      <alignment horizontal="center" vertical="center" wrapText="1"/>
    </xf>
    <xf numFmtId="12" fontId="7" fillId="13" borderId="1" xfId="54" applyNumberFormat="1" applyFont="1" applyFill="1" applyBorder="1" applyAlignment="1">
      <alignment horizontal="center" vertical="center" textRotation="255" wrapText="1"/>
    </xf>
    <xf numFmtId="3" fontId="7" fillId="13" borderId="1" xfId="54" applyNumberFormat="1" applyFont="1" applyFill="1" applyBorder="1" applyAlignment="1">
      <alignment horizontal="center" vertical="center" wrapText="1"/>
    </xf>
    <xf numFmtId="0" fontId="7" fillId="13" borderId="1" xfId="54" applyFont="1" applyFill="1" applyBorder="1" applyAlignment="1">
      <alignment horizontal="center" vertical="center" shrinkToFit="1"/>
    </xf>
    <xf numFmtId="0" fontId="7" fillId="13" borderId="1" xfId="54" applyFont="1" applyFill="1" applyBorder="1" applyAlignment="1">
      <alignment horizontal="center" vertical="center" wrapText="1"/>
    </xf>
    <xf numFmtId="3" fontId="7" fillId="13" borderId="1" xfId="54" applyNumberFormat="1" applyFont="1" applyFill="1" applyBorder="1" applyAlignment="1">
      <alignment horizontal="center" vertical="center" wrapText="1"/>
    </xf>
    <xf numFmtId="0" fontId="0" fillId="0" borderId="0" xfId="54" applyFont="1" applyAlignment="1">
      <alignment vertical="center"/>
    </xf>
    <xf numFmtId="0" fontId="7" fillId="0" borderId="1" xfId="54" applyFont="1" applyBorder="1" applyAlignment="1">
      <alignment horizontal="distributed" vertical="center" wrapText="1"/>
    </xf>
    <xf numFmtId="0" fontId="58" fillId="0" borderId="1" xfId="24" applyFont="1" applyBorder="1" applyAlignment="1">
      <alignment horizontal="distributed" vertical="center" wrapText="1" justifyLastLine="1"/>
    </xf>
    <xf numFmtId="0" fontId="7" fillId="0" borderId="1" xfId="54" applyFont="1" applyBorder="1" applyAlignment="1">
      <alignment horizontal="center" vertical="center" wrapText="1"/>
    </xf>
    <xf numFmtId="0" fontId="10" fillId="0" borderId="1" xfId="54" applyFont="1" applyBorder="1" applyAlignment="1">
      <alignment horizontal="center" vertical="center" wrapText="1"/>
    </xf>
    <xf numFmtId="201" fontId="7" fillId="0" borderId="1" xfId="54" applyNumberFormat="1" applyFont="1" applyBorder="1" applyAlignment="1">
      <alignment horizontal="center" vertical="center"/>
    </xf>
    <xf numFmtId="12" fontId="7" fillId="0" borderId="1" xfId="54" applyNumberFormat="1" applyFont="1" applyBorder="1" applyAlignment="1">
      <alignment horizontal="center" vertical="center"/>
    </xf>
    <xf numFmtId="177" fontId="5" fillId="0" borderId="1" xfId="54" applyNumberFormat="1" applyBorder="1" applyAlignment="1">
      <alignment vertical="center"/>
    </xf>
    <xf numFmtId="41" fontId="5" fillId="0" borderId="1" xfId="54" applyNumberFormat="1" applyBorder="1" applyAlignment="1">
      <alignment horizontal="right" vertical="center"/>
    </xf>
    <xf numFmtId="0" fontId="7" fillId="13" borderId="1" xfId="54" applyFont="1" applyFill="1" applyBorder="1" applyAlignment="1">
      <alignment horizontal="distributed" vertical="center"/>
    </xf>
    <xf numFmtId="0" fontId="5" fillId="13" borderId="1" xfId="54" applyFill="1" applyBorder="1"/>
    <xf numFmtId="206" fontId="58" fillId="13" borderId="1" xfId="24" applyNumberFormat="1" applyFont="1" applyFill="1" applyBorder="1" applyAlignment="1">
      <alignment horizontal="distributed" vertical="center" wrapText="1" justifyLastLine="1"/>
    </xf>
    <xf numFmtId="201" fontId="5" fillId="13" borderId="1" xfId="54" applyNumberFormat="1" applyFill="1" applyBorder="1"/>
    <xf numFmtId="41" fontId="5" fillId="13" borderId="1" xfId="54" applyNumberFormat="1" applyFill="1" applyBorder="1" applyAlignment="1">
      <alignment horizontal="right" vertical="center"/>
    </xf>
    <xf numFmtId="0" fontId="7" fillId="0" borderId="0" xfId="54" applyFont="1" applyAlignment="1">
      <alignment vertical="center"/>
    </xf>
    <xf numFmtId="12" fontId="7" fillId="0" borderId="0" xfId="54" applyNumberFormat="1" applyFont="1" applyAlignment="1">
      <alignment vertical="center"/>
    </xf>
    <xf numFmtId="3" fontId="7" fillId="0" borderId="0" xfId="54" applyNumberFormat="1" applyFont="1" applyAlignment="1">
      <alignment vertical="center"/>
    </xf>
    <xf numFmtId="12" fontId="5" fillId="0" borderId="0" xfId="54" applyNumberFormat="1" applyAlignment="1">
      <alignment vertical="center"/>
    </xf>
    <xf numFmtId="3" fontId="5" fillId="0" borderId="0" xfId="54" applyNumberFormat="1" applyAlignment="1">
      <alignment vertical="center"/>
    </xf>
    <xf numFmtId="202" fontId="7" fillId="0" borderId="1" xfId="54" applyNumberFormat="1" applyFont="1" applyBorder="1" applyAlignment="1">
      <alignment horizontal="center" vertical="center"/>
    </xf>
    <xf numFmtId="41" fontId="5" fillId="0" borderId="1" xfId="54" applyNumberFormat="1" applyBorder="1" applyAlignment="1">
      <alignment vertical="center"/>
    </xf>
    <xf numFmtId="177" fontId="0" fillId="0" borderId="1" xfId="54" applyNumberFormat="1" applyFont="1" applyBorder="1" applyAlignment="1">
      <alignment vertical="center"/>
    </xf>
    <xf numFmtId="0" fontId="7" fillId="0" borderId="0" xfId="54" applyFont="1" applyAlignment="1">
      <alignment horizontal="left" vertical="top"/>
    </xf>
    <xf numFmtId="0" fontId="58" fillId="0" borderId="0" xfId="24" applyFont="1" applyAlignment="1">
      <alignment horizontal="distributed" vertical="center" wrapText="1" justifyLastLine="1"/>
    </xf>
    <xf numFmtId="201" fontId="5" fillId="0" borderId="0" xfId="54" applyNumberFormat="1"/>
    <xf numFmtId="41" fontId="5" fillId="0" borderId="0" xfId="54" applyNumberFormat="1" applyAlignment="1">
      <alignment horizontal="right" vertical="center"/>
    </xf>
    <xf numFmtId="0" fontId="5" fillId="0" borderId="0" xfId="54" applyAlignment="1">
      <alignment horizontal="right"/>
    </xf>
    <xf numFmtId="3" fontId="22" fillId="0" borderId="0" xfId="55" applyNumberFormat="1" applyFont="1" applyAlignment="1">
      <alignment vertical="center"/>
    </xf>
    <xf numFmtId="3" fontId="32" fillId="0" borderId="0" xfId="55" applyNumberFormat="1" applyFont="1" applyAlignment="1">
      <alignment vertical="center"/>
    </xf>
    <xf numFmtId="0" fontId="0" fillId="0" borderId="0" xfId="55" applyFont="1" applyAlignment="1">
      <alignment vertical="center"/>
    </xf>
    <xf numFmtId="0" fontId="5" fillId="0" borderId="0" xfId="55" applyAlignment="1">
      <alignment vertical="center"/>
    </xf>
    <xf numFmtId="12" fontId="5" fillId="0" borderId="0" xfId="55" applyNumberFormat="1" applyAlignment="1">
      <alignment vertical="center"/>
    </xf>
    <xf numFmtId="3" fontId="5" fillId="0" borderId="0" xfId="55" applyNumberFormat="1" applyAlignment="1">
      <alignment vertical="center"/>
    </xf>
    <xf numFmtId="3" fontId="32" fillId="4" borderId="326" xfId="55" applyNumberFormat="1" applyFont="1" applyFill="1" applyBorder="1" applyAlignment="1">
      <alignment horizontal="center" vertical="center" wrapText="1"/>
    </xf>
    <xf numFmtId="3" fontId="32" fillId="4" borderId="84" xfId="55" applyNumberFormat="1" applyFont="1" applyFill="1" applyBorder="1" applyAlignment="1">
      <alignment horizontal="center" vertical="center" wrapText="1"/>
    </xf>
    <xf numFmtId="3" fontId="32" fillId="4" borderId="168" xfId="55" applyNumberFormat="1" applyFont="1" applyFill="1" applyBorder="1" applyAlignment="1">
      <alignment horizontal="center" vertical="center" wrapText="1"/>
    </xf>
    <xf numFmtId="3" fontId="32" fillId="4" borderId="86" xfId="55" applyNumberFormat="1" applyFont="1" applyFill="1" applyBorder="1" applyAlignment="1">
      <alignment horizontal="center" vertical="center" wrapText="1"/>
    </xf>
    <xf numFmtId="3" fontId="32" fillId="0" borderId="0" xfId="55" applyNumberFormat="1" applyFont="1" applyAlignment="1">
      <alignment horizontal="center" vertical="center" wrapText="1"/>
    </xf>
    <xf numFmtId="3" fontId="32" fillId="4" borderId="184" xfId="55" applyNumberFormat="1" applyFont="1" applyFill="1" applyBorder="1" applyAlignment="1">
      <alignment horizontal="center" vertical="center" wrapText="1"/>
    </xf>
    <xf numFmtId="3" fontId="32" fillId="4" borderId="215" xfId="55" applyNumberFormat="1" applyFont="1" applyFill="1" applyBorder="1" applyAlignment="1">
      <alignment horizontal="center" vertical="center" textRotation="255"/>
    </xf>
    <xf numFmtId="3" fontId="32" fillId="4" borderId="213" xfId="55" applyNumberFormat="1" applyFont="1" applyFill="1" applyBorder="1" applyAlignment="1">
      <alignment horizontal="center" vertical="center" textRotation="255"/>
    </xf>
    <xf numFmtId="3" fontId="32" fillId="4" borderId="213" xfId="55" applyNumberFormat="1" applyFont="1" applyFill="1" applyBorder="1" applyAlignment="1">
      <alignment horizontal="center" vertical="center" wrapText="1"/>
    </xf>
    <xf numFmtId="3" fontId="32" fillId="4" borderId="214" xfId="55" applyNumberFormat="1" applyFont="1" applyFill="1" applyBorder="1" applyAlignment="1">
      <alignment horizontal="center" vertical="center" wrapText="1"/>
    </xf>
    <xf numFmtId="3" fontId="32" fillId="4" borderId="185" xfId="55" applyNumberFormat="1" applyFont="1" applyFill="1" applyBorder="1" applyAlignment="1">
      <alignment horizontal="center" vertical="center" textRotation="255"/>
    </xf>
    <xf numFmtId="3" fontId="32" fillId="4" borderId="186" xfId="55" applyNumberFormat="1" applyFont="1" applyFill="1" applyBorder="1" applyAlignment="1">
      <alignment horizontal="center" vertical="center" textRotation="255"/>
    </xf>
    <xf numFmtId="3" fontId="32" fillId="4" borderId="186" xfId="55" applyNumberFormat="1" applyFont="1" applyFill="1" applyBorder="1" applyAlignment="1">
      <alignment horizontal="center" vertical="center" wrapText="1"/>
    </xf>
    <xf numFmtId="3" fontId="32" fillId="4" borderId="167" xfId="55" applyNumberFormat="1" applyFont="1" applyFill="1" applyBorder="1" applyAlignment="1">
      <alignment horizontal="center" vertical="center" wrapText="1"/>
    </xf>
    <xf numFmtId="3" fontId="32" fillId="4" borderId="323" xfId="55" applyNumberFormat="1" applyFont="1" applyFill="1" applyBorder="1" applyAlignment="1">
      <alignment horizontal="center" vertical="center" wrapText="1"/>
    </xf>
    <xf numFmtId="3" fontId="32" fillId="4" borderId="221" xfId="55" applyNumberFormat="1" applyFont="1" applyFill="1" applyBorder="1" applyAlignment="1">
      <alignment horizontal="center" vertical="center" textRotation="255"/>
    </xf>
    <xf numFmtId="3" fontId="32" fillId="4" borderId="219" xfId="55" applyNumberFormat="1" applyFont="1" applyFill="1" applyBorder="1" applyAlignment="1">
      <alignment horizontal="center" vertical="center" textRotation="255"/>
    </xf>
    <xf numFmtId="3" fontId="32" fillId="4" borderId="219" xfId="55" applyNumberFormat="1" applyFont="1" applyFill="1" applyBorder="1" applyAlignment="1">
      <alignment horizontal="center" vertical="center" wrapText="1"/>
    </xf>
    <xf numFmtId="3" fontId="32" fillId="4" borderId="220" xfId="55" applyNumberFormat="1" applyFont="1" applyFill="1" applyBorder="1" applyAlignment="1">
      <alignment horizontal="center" vertical="center" wrapText="1"/>
    </xf>
    <xf numFmtId="3" fontId="32" fillId="5" borderId="326" xfId="55" applyNumberFormat="1" applyFont="1" applyFill="1" applyBorder="1" applyAlignment="1">
      <alignment horizontal="center" vertical="center"/>
    </xf>
    <xf numFmtId="3" fontId="32" fillId="0" borderId="215" xfId="55" applyNumberFormat="1" applyFont="1" applyBorder="1" applyAlignment="1">
      <alignment vertical="center"/>
    </xf>
    <xf numFmtId="3" fontId="32" fillId="0" borderId="213" xfId="55" applyNumberFormat="1" applyFont="1" applyBorder="1" applyAlignment="1">
      <alignment vertical="center"/>
    </xf>
    <xf numFmtId="3" fontId="32" fillId="0" borderId="214" xfId="55" applyNumberFormat="1" applyFont="1" applyBorder="1" applyAlignment="1">
      <alignment vertical="center"/>
    </xf>
    <xf numFmtId="3" fontId="32" fillId="5" borderId="178" xfId="55" applyNumberFormat="1" applyFont="1" applyFill="1" applyBorder="1" applyAlignment="1">
      <alignment horizontal="center" vertical="center"/>
    </xf>
    <xf numFmtId="3" fontId="32" fillId="0" borderId="179" xfId="55" applyNumberFormat="1" applyFont="1" applyBorder="1" applyAlignment="1">
      <alignment vertical="center"/>
    </xf>
    <xf numFmtId="3" fontId="32" fillId="0" borderId="180" xfId="55" applyNumberFormat="1" applyFont="1" applyBorder="1" applyAlignment="1">
      <alignment vertical="center"/>
    </xf>
    <xf numFmtId="3" fontId="32" fillId="0" borderId="161" xfId="55" applyNumberFormat="1" applyFont="1" applyBorder="1" applyAlignment="1">
      <alignment vertical="center"/>
    </xf>
    <xf numFmtId="3" fontId="32" fillId="5" borderId="184" xfId="55" applyNumberFormat="1" applyFont="1" applyFill="1" applyBorder="1" applyAlignment="1">
      <alignment horizontal="center" vertical="center"/>
    </xf>
    <xf numFmtId="3" fontId="32" fillId="0" borderId="185" xfId="55" applyNumberFormat="1" applyFont="1" applyBorder="1" applyAlignment="1">
      <alignment vertical="center"/>
    </xf>
    <xf numFmtId="3" fontId="32" fillId="0" borderId="186" xfId="55" applyNumberFormat="1" applyFont="1" applyBorder="1" applyAlignment="1">
      <alignment vertical="center"/>
    </xf>
    <xf numFmtId="3" fontId="32" fillId="0" borderId="167" xfId="55" applyNumberFormat="1" applyFont="1" applyBorder="1" applyAlignment="1">
      <alignment vertical="center"/>
    </xf>
    <xf numFmtId="3" fontId="32" fillId="5" borderId="323" xfId="55" applyNumberFormat="1" applyFont="1" applyFill="1" applyBorder="1" applyAlignment="1">
      <alignment horizontal="center" vertical="center"/>
    </xf>
    <xf numFmtId="3" fontId="32" fillId="0" borderId="221" xfId="55" applyNumberFormat="1" applyFont="1" applyBorder="1" applyAlignment="1">
      <alignment vertical="center"/>
    </xf>
    <xf numFmtId="3" fontId="32" fillId="0" borderId="219" xfId="55" applyNumberFormat="1" applyFont="1" applyBorder="1" applyAlignment="1">
      <alignment vertical="center"/>
    </xf>
    <xf numFmtId="3" fontId="32" fillId="0" borderId="220" xfId="55" applyNumberFormat="1" applyFont="1" applyBorder="1" applyAlignment="1">
      <alignment vertical="center"/>
    </xf>
    <xf numFmtId="3" fontId="32" fillId="14" borderId="0" xfId="55" applyNumberFormat="1" applyFont="1" applyFill="1" applyAlignment="1">
      <alignment vertical="center"/>
    </xf>
    <xf numFmtId="3" fontId="32" fillId="9" borderId="53" xfId="55" applyNumberFormat="1" applyFont="1" applyFill="1" applyBorder="1" applyAlignment="1">
      <alignment horizontal="center" vertical="center"/>
    </xf>
    <xf numFmtId="3" fontId="32" fillId="0" borderId="205" xfId="55" applyNumberFormat="1" applyFont="1" applyBorder="1" applyAlignment="1">
      <alignment vertical="center"/>
    </xf>
    <xf numFmtId="3" fontId="32" fillId="0" borderId="206" xfId="55" applyNumberFormat="1" applyFont="1" applyBorder="1" applyAlignment="1">
      <alignment vertical="center"/>
    </xf>
    <xf numFmtId="3" fontId="32" fillId="0" borderId="207" xfId="55" applyNumberFormat="1" applyFont="1" applyBorder="1" applyAlignment="1">
      <alignment vertical="center"/>
    </xf>
    <xf numFmtId="3" fontId="32" fillId="5" borderId="328" xfId="55" applyNumberFormat="1" applyFont="1" applyFill="1" applyBorder="1" applyAlignment="1">
      <alignment horizontal="center" vertical="center"/>
    </xf>
    <xf numFmtId="3" fontId="32" fillId="4" borderId="55" xfId="55" applyNumberFormat="1" applyFont="1" applyFill="1" applyBorder="1" applyAlignment="1">
      <alignment horizontal="center" vertical="center"/>
    </xf>
    <xf numFmtId="3" fontId="32" fillId="4" borderId="200" xfId="55" applyNumberFormat="1" applyFont="1" applyFill="1" applyBorder="1" applyAlignment="1">
      <alignment vertical="center"/>
    </xf>
    <xf numFmtId="3" fontId="32" fillId="4" borderId="201" xfId="55" applyNumberFormat="1" applyFont="1" applyFill="1" applyBorder="1" applyAlignment="1">
      <alignment vertical="center"/>
    </xf>
    <xf numFmtId="3" fontId="32" fillId="4" borderId="151" xfId="55" applyNumberFormat="1" applyFont="1" applyFill="1" applyBorder="1" applyAlignment="1">
      <alignment vertical="center"/>
    </xf>
    <xf numFmtId="3" fontId="32" fillId="0" borderId="0" xfId="55" applyNumberFormat="1" applyFont="1" applyAlignment="1">
      <alignment horizontal="center" vertical="center"/>
    </xf>
    <xf numFmtId="3" fontId="32" fillId="0" borderId="208" xfId="55" applyNumberFormat="1" applyFont="1" applyBorder="1" applyAlignment="1">
      <alignment horizontal="center" vertical="center" wrapText="1"/>
    </xf>
    <xf numFmtId="3" fontId="32" fillId="0" borderId="0" xfId="55" applyNumberFormat="1" applyFont="1" applyAlignment="1">
      <alignment horizontal="center" vertical="center" wrapText="1"/>
    </xf>
    <xf numFmtId="3" fontId="32" fillId="0" borderId="327" xfId="55" applyNumberFormat="1" applyFont="1" applyBorder="1" applyAlignment="1">
      <alignment vertical="center"/>
    </xf>
    <xf numFmtId="3" fontId="32" fillId="0" borderId="337" xfId="55" applyNumberFormat="1" applyFont="1" applyBorder="1" applyAlignment="1">
      <alignment vertical="center"/>
    </xf>
    <xf numFmtId="3" fontId="32" fillId="0" borderId="360" xfId="55" applyNumberFormat="1" applyFont="1" applyBorder="1" applyAlignment="1">
      <alignment vertical="center"/>
    </xf>
    <xf numFmtId="3" fontId="32" fillId="9" borderId="184" xfId="55" applyNumberFormat="1" applyFont="1" applyFill="1" applyBorder="1" applyAlignment="1">
      <alignment horizontal="center" vertical="center"/>
    </xf>
    <xf numFmtId="3" fontId="32" fillId="9" borderId="323" xfId="55" applyNumberFormat="1" applyFont="1" applyFill="1" applyBorder="1" applyAlignment="1">
      <alignment horizontal="center" vertical="center"/>
    </xf>
    <xf numFmtId="3" fontId="32" fillId="9" borderId="326" xfId="55" applyNumberFormat="1" applyFont="1" applyFill="1" applyBorder="1" applyAlignment="1">
      <alignment horizontal="center" vertical="center"/>
    </xf>
    <xf numFmtId="3" fontId="32" fillId="8" borderId="55" xfId="55" applyNumberFormat="1" applyFont="1" applyFill="1" applyBorder="1" applyAlignment="1">
      <alignment horizontal="center" vertical="center"/>
    </xf>
    <xf numFmtId="3" fontId="32" fillId="8" borderId="200" xfId="55" applyNumberFormat="1" applyFont="1" applyFill="1" applyBorder="1" applyAlignment="1">
      <alignment vertical="center"/>
    </xf>
    <xf numFmtId="3" fontId="32" fillId="8" borderId="201" xfId="55" applyNumberFormat="1" applyFont="1" applyFill="1" applyBorder="1" applyAlignment="1">
      <alignment vertical="center"/>
    </xf>
    <xf numFmtId="3" fontId="32" fillId="8" borderId="151" xfId="55" applyNumberFormat="1" applyFont="1" applyFill="1" applyBorder="1" applyAlignment="1">
      <alignment vertical="center"/>
    </xf>
    <xf numFmtId="0" fontId="8" fillId="0" borderId="0" xfId="56" applyFont="1" applyAlignment="1">
      <alignment vertical="center"/>
    </xf>
    <xf numFmtId="0" fontId="8" fillId="0" borderId="0" xfId="56" applyFont="1" applyAlignment="1">
      <alignment horizontal="center" vertical="center"/>
    </xf>
    <xf numFmtId="12" fontId="8" fillId="0" borderId="0" xfId="56" applyNumberFormat="1" applyFont="1" applyAlignment="1">
      <alignment horizontal="center" vertical="center"/>
    </xf>
    <xf numFmtId="3" fontId="8" fillId="0" borderId="0" xfId="56" applyNumberFormat="1" applyFont="1" applyAlignment="1">
      <alignment vertical="center"/>
    </xf>
    <xf numFmtId="0" fontId="7" fillId="0" borderId="0" xfId="56" applyFont="1" applyAlignment="1">
      <alignment horizontal="center" vertical="center"/>
    </xf>
    <xf numFmtId="12" fontId="7" fillId="0" borderId="0" xfId="56" applyNumberFormat="1" applyFont="1" applyAlignment="1">
      <alignment horizontal="center" vertical="center"/>
    </xf>
    <xf numFmtId="3" fontId="7" fillId="0" borderId="0" xfId="56" applyNumberFormat="1" applyFont="1" applyAlignment="1">
      <alignment vertical="center"/>
    </xf>
    <xf numFmtId="0" fontId="7" fillId="0" borderId="0" xfId="56" applyFont="1" applyAlignment="1">
      <alignment vertical="center"/>
    </xf>
    <xf numFmtId="0" fontId="5" fillId="0" borderId="0" xfId="56" applyAlignment="1">
      <alignment horizontal="left" vertical="center"/>
    </xf>
    <xf numFmtId="0" fontId="5" fillId="0" borderId="0" xfId="56" applyAlignment="1">
      <alignment horizontal="center" vertical="center"/>
    </xf>
    <xf numFmtId="12" fontId="5" fillId="0" borderId="0" xfId="56" applyNumberFormat="1" applyAlignment="1">
      <alignment horizontal="center" vertical="center"/>
    </xf>
    <xf numFmtId="3" fontId="5" fillId="0" borderId="0" xfId="56" applyNumberFormat="1" applyAlignment="1">
      <alignment vertical="center"/>
    </xf>
    <xf numFmtId="0" fontId="5" fillId="0" borderId="0" xfId="56" applyAlignment="1">
      <alignment vertical="center"/>
    </xf>
    <xf numFmtId="0" fontId="7" fillId="4" borderId="1" xfId="56" applyFont="1" applyFill="1" applyBorder="1" applyAlignment="1">
      <alignment horizontal="center" vertical="center" wrapText="1"/>
    </xf>
    <xf numFmtId="12" fontId="7" fillId="4" borderId="1" xfId="56" applyNumberFormat="1" applyFont="1" applyFill="1" applyBorder="1" applyAlignment="1">
      <alignment horizontal="center" vertical="center" wrapText="1"/>
    </xf>
    <xf numFmtId="3" fontId="7" fillId="4" borderId="1" xfId="56" applyNumberFormat="1" applyFont="1" applyFill="1" applyBorder="1" applyAlignment="1">
      <alignment horizontal="center" vertical="center" wrapText="1"/>
    </xf>
    <xf numFmtId="3" fontId="7" fillId="4" borderId="1" xfId="56" applyNumberFormat="1" applyFont="1" applyFill="1" applyBorder="1" applyAlignment="1">
      <alignment horizontal="center" vertical="center" wrapText="1"/>
    </xf>
    <xf numFmtId="0" fontId="7" fillId="0" borderId="55" xfId="56" applyFont="1" applyBorder="1" applyAlignment="1">
      <alignment horizontal="center" vertical="center"/>
    </xf>
    <xf numFmtId="0" fontId="7" fillId="0" borderId="55" xfId="56" applyFont="1" applyBorder="1" applyAlignment="1">
      <alignment horizontal="center" vertical="center" wrapText="1"/>
    </xf>
    <xf numFmtId="12" fontId="7" fillId="0" borderId="55" xfId="56" applyNumberFormat="1" applyFont="1" applyBorder="1" applyAlignment="1">
      <alignment vertical="center"/>
    </xf>
    <xf numFmtId="3" fontId="7" fillId="0" borderId="55" xfId="56" applyNumberFormat="1" applyFont="1" applyBorder="1" applyAlignment="1">
      <alignment horizontal="right" vertical="center"/>
    </xf>
    <xf numFmtId="3" fontId="7" fillId="0" borderId="55" xfId="56" quotePrefix="1" applyNumberFormat="1" applyFont="1" applyBorder="1" applyAlignment="1">
      <alignment horizontal="right" vertical="center"/>
    </xf>
    <xf numFmtId="3" fontId="7" fillId="0" borderId="55" xfId="56" applyNumberFormat="1" applyFont="1" applyBorder="1" applyAlignment="1">
      <alignment horizontal="left" vertical="center"/>
    </xf>
    <xf numFmtId="0" fontId="0" fillId="0" borderId="0" xfId="56" applyFont="1" applyAlignment="1">
      <alignment vertical="center"/>
    </xf>
    <xf numFmtId="3" fontId="22" fillId="0" borderId="0" xfId="57" applyNumberFormat="1" applyFont="1" applyAlignment="1">
      <alignment vertical="center"/>
    </xf>
    <xf numFmtId="3" fontId="32" fillId="0" borderId="0" xfId="57" applyNumberFormat="1" applyFont="1" applyAlignment="1">
      <alignment vertical="center"/>
    </xf>
    <xf numFmtId="3" fontId="32" fillId="4" borderId="211" xfId="57" applyNumberFormat="1" applyFont="1" applyFill="1" applyBorder="1" applyAlignment="1">
      <alignment horizontal="center" vertical="center" wrapText="1"/>
    </xf>
    <xf numFmtId="3" fontId="32" fillId="4" borderId="1" xfId="57" applyNumberFormat="1" applyFont="1" applyFill="1" applyBorder="1" applyAlignment="1">
      <alignment horizontal="center" vertical="center" wrapText="1"/>
    </xf>
    <xf numFmtId="3" fontId="32" fillId="0" borderId="0" xfId="57" applyNumberFormat="1" applyFont="1" applyAlignment="1">
      <alignment horizontal="center" vertical="center" wrapText="1"/>
    </xf>
    <xf numFmtId="3" fontId="32" fillId="4" borderId="216" xfId="57" applyNumberFormat="1" applyFont="1" applyFill="1" applyBorder="1" applyAlignment="1">
      <alignment horizontal="center" vertical="center" wrapText="1"/>
    </xf>
    <xf numFmtId="3" fontId="32" fillId="4" borderId="215" xfId="57" applyNumberFormat="1" applyFont="1" applyFill="1" applyBorder="1" applyAlignment="1">
      <alignment horizontal="center" vertical="center" wrapText="1"/>
    </xf>
    <xf numFmtId="3" fontId="32" fillId="4" borderId="213" xfId="57" applyNumberFormat="1" applyFont="1" applyFill="1" applyBorder="1" applyAlignment="1">
      <alignment horizontal="center" vertical="center" wrapText="1"/>
    </xf>
    <xf numFmtId="3" fontId="32" fillId="4" borderId="214" xfId="57" applyNumberFormat="1" applyFont="1" applyFill="1" applyBorder="1" applyAlignment="1">
      <alignment horizontal="center" vertical="center" wrapText="1"/>
    </xf>
    <xf numFmtId="3" fontId="32" fillId="4" borderId="185" xfId="57" applyNumberFormat="1" applyFont="1" applyFill="1" applyBorder="1" applyAlignment="1">
      <alignment horizontal="center" vertical="center" wrapText="1"/>
    </xf>
    <xf numFmtId="3" fontId="32" fillId="4" borderId="186" xfId="57" applyNumberFormat="1" applyFont="1" applyFill="1" applyBorder="1" applyAlignment="1">
      <alignment horizontal="center" vertical="center" wrapText="1"/>
    </xf>
    <xf numFmtId="3" fontId="32" fillId="4" borderId="167" xfId="57" applyNumberFormat="1" applyFont="1" applyFill="1" applyBorder="1" applyAlignment="1">
      <alignment horizontal="center" vertical="center" wrapText="1"/>
    </xf>
    <xf numFmtId="3" fontId="32" fillId="4" borderId="217" xfId="57" applyNumberFormat="1" applyFont="1" applyFill="1" applyBorder="1" applyAlignment="1">
      <alignment horizontal="center" vertical="center" wrapText="1"/>
    </xf>
    <xf numFmtId="3" fontId="32" fillId="4" borderId="221" xfId="57" applyNumberFormat="1" applyFont="1" applyFill="1" applyBorder="1" applyAlignment="1">
      <alignment horizontal="center" vertical="center" wrapText="1"/>
    </xf>
    <xf numFmtId="3" fontId="32" fillId="4" borderId="219" xfId="57" applyNumberFormat="1" applyFont="1" applyFill="1" applyBorder="1" applyAlignment="1">
      <alignment horizontal="center" vertical="center" wrapText="1"/>
    </xf>
    <xf numFmtId="3" fontId="32" fillId="4" borderId="220" xfId="57" applyNumberFormat="1" applyFont="1" applyFill="1" applyBorder="1" applyAlignment="1">
      <alignment horizontal="center" vertical="center" wrapText="1"/>
    </xf>
    <xf numFmtId="3" fontId="32" fillId="5" borderId="222" xfId="57" applyNumberFormat="1" applyFont="1" applyFill="1" applyBorder="1" applyAlignment="1">
      <alignment horizontal="center" vertical="center"/>
    </xf>
    <xf numFmtId="3" fontId="32" fillId="0" borderId="179" xfId="57" applyNumberFormat="1" applyFont="1" applyBorder="1" applyAlignment="1">
      <alignment vertical="center"/>
    </xf>
    <xf numFmtId="3" fontId="32" fillId="0" borderId="180" xfId="57" applyNumberFormat="1" applyFont="1" applyBorder="1" applyAlignment="1">
      <alignment vertical="center"/>
    </xf>
    <xf numFmtId="3" fontId="32" fillId="0" borderId="180" xfId="57" applyNumberFormat="1" applyFont="1" applyBorder="1" applyAlignment="1">
      <alignment vertical="center" shrinkToFit="1"/>
    </xf>
    <xf numFmtId="3" fontId="32" fillId="0" borderId="161" xfId="57" applyNumberFormat="1" applyFont="1" applyBorder="1" applyAlignment="1">
      <alignment vertical="center" shrinkToFit="1"/>
    </xf>
    <xf numFmtId="3" fontId="32" fillId="0" borderId="161" xfId="57" applyNumberFormat="1" applyFont="1" applyBorder="1" applyAlignment="1">
      <alignment vertical="center"/>
    </xf>
    <xf numFmtId="3" fontId="32" fillId="5" borderId="216" xfId="57" applyNumberFormat="1" applyFont="1" applyFill="1" applyBorder="1" applyAlignment="1">
      <alignment horizontal="center" vertical="center"/>
    </xf>
    <xf numFmtId="3" fontId="32" fillId="0" borderId="185" xfId="57" applyNumberFormat="1" applyFont="1" applyBorder="1" applyAlignment="1">
      <alignment vertical="center"/>
    </xf>
    <xf numFmtId="3" fontId="32" fillId="0" borderId="186" xfId="57" applyNumberFormat="1" applyFont="1" applyBorder="1" applyAlignment="1">
      <alignment vertical="center"/>
    </xf>
    <xf numFmtId="3" fontId="32" fillId="0" borderId="186" xfId="57" applyNumberFormat="1" applyFont="1" applyBorder="1" applyAlignment="1">
      <alignment vertical="center" shrinkToFit="1"/>
    </xf>
    <xf numFmtId="3" fontId="32" fillId="0" borderId="167" xfId="57" applyNumberFormat="1" applyFont="1" applyBorder="1" applyAlignment="1">
      <alignment vertical="center" shrinkToFit="1"/>
    </xf>
    <xf numFmtId="3" fontId="32" fillId="0" borderId="167" xfId="57" applyNumberFormat="1" applyFont="1" applyBorder="1" applyAlignment="1">
      <alignment vertical="center"/>
    </xf>
    <xf numFmtId="3" fontId="32" fillId="5" borderId="217" xfId="57" applyNumberFormat="1" applyFont="1" applyFill="1" applyBorder="1" applyAlignment="1">
      <alignment horizontal="center" vertical="center"/>
    </xf>
    <xf numFmtId="3" fontId="32" fillId="0" borderId="221" xfId="57" applyNumberFormat="1" applyFont="1" applyBorder="1" applyAlignment="1">
      <alignment vertical="center"/>
    </xf>
    <xf numFmtId="3" fontId="32" fillId="0" borderId="219" xfId="57" applyNumberFormat="1" applyFont="1" applyBorder="1" applyAlignment="1">
      <alignment vertical="center"/>
    </xf>
    <xf numFmtId="3" fontId="32" fillId="0" borderId="219" xfId="57" applyNumberFormat="1" applyFont="1" applyBorder="1" applyAlignment="1">
      <alignment vertical="center" shrinkToFit="1"/>
    </xf>
    <xf numFmtId="3" fontId="32" fillId="0" borderId="220" xfId="57" applyNumberFormat="1" applyFont="1" applyBorder="1" applyAlignment="1">
      <alignment vertical="center" shrinkToFit="1"/>
    </xf>
    <xf numFmtId="3" fontId="32" fillId="0" borderId="220" xfId="57" applyNumberFormat="1" applyFont="1" applyBorder="1" applyAlignment="1">
      <alignment vertical="center"/>
    </xf>
    <xf numFmtId="188" fontId="32" fillId="0" borderId="167" xfId="57" applyNumberFormat="1" applyFont="1" applyBorder="1" applyAlignment="1">
      <alignment vertical="center"/>
    </xf>
    <xf numFmtId="188" fontId="32" fillId="0" borderId="167" xfId="57" applyNumberFormat="1" applyFont="1" applyBorder="1" applyAlignment="1">
      <alignment vertical="center" shrinkToFit="1"/>
    </xf>
    <xf numFmtId="3" fontId="32" fillId="5" borderId="208" xfId="57" applyNumberFormat="1" applyFont="1" applyFill="1" applyBorder="1" applyAlignment="1">
      <alignment horizontal="center" vertical="center"/>
    </xf>
    <xf numFmtId="3" fontId="32" fillId="0" borderId="205" xfId="57" applyNumberFormat="1" applyFont="1" applyBorder="1" applyAlignment="1">
      <alignment vertical="center"/>
    </xf>
    <xf numFmtId="3" fontId="32" fillId="0" borderId="206" xfId="57" applyNumberFormat="1" applyFont="1" applyBorder="1" applyAlignment="1">
      <alignment vertical="center"/>
    </xf>
    <xf numFmtId="3" fontId="32" fillId="0" borderId="206" xfId="57" applyNumberFormat="1" applyFont="1" applyBorder="1" applyAlignment="1">
      <alignment vertical="center" shrinkToFit="1"/>
    </xf>
    <xf numFmtId="3" fontId="32" fillId="0" borderId="207" xfId="57" applyNumberFormat="1" applyFont="1" applyBorder="1" applyAlignment="1">
      <alignment vertical="center" shrinkToFit="1"/>
    </xf>
    <xf numFmtId="3" fontId="32" fillId="0" borderId="207" xfId="57" applyNumberFormat="1" applyFont="1" applyBorder="1" applyAlignment="1">
      <alignment vertical="center"/>
    </xf>
    <xf numFmtId="3" fontId="32" fillId="9" borderId="216" xfId="57" applyNumberFormat="1" applyFont="1" applyFill="1" applyBorder="1" applyAlignment="1">
      <alignment horizontal="center" vertical="center"/>
    </xf>
    <xf numFmtId="3" fontId="32" fillId="9" borderId="323" xfId="57" applyNumberFormat="1" applyFont="1" applyFill="1" applyBorder="1" applyAlignment="1">
      <alignment horizontal="center" vertical="center"/>
    </xf>
    <xf numFmtId="3" fontId="32" fillId="0" borderId="200" xfId="57" applyNumberFormat="1" applyFont="1" applyBorder="1" applyAlignment="1">
      <alignment vertical="center"/>
    </xf>
    <xf numFmtId="3" fontId="32" fillId="0" borderId="201" xfId="57" applyNumberFormat="1" applyFont="1" applyBorder="1" applyAlignment="1">
      <alignment vertical="center"/>
    </xf>
    <xf numFmtId="3" fontId="32" fillId="0" borderId="201" xfId="57" applyNumberFormat="1" applyFont="1" applyBorder="1" applyAlignment="1">
      <alignment vertical="center" shrinkToFit="1"/>
    </xf>
    <xf numFmtId="3" fontId="32" fillId="0" borderId="151" xfId="57" applyNumberFormat="1" applyFont="1" applyBorder="1" applyAlignment="1">
      <alignment vertical="center" shrinkToFit="1"/>
    </xf>
    <xf numFmtId="3" fontId="32" fillId="0" borderId="151" xfId="57" applyNumberFormat="1" applyFont="1" applyBorder="1" applyAlignment="1">
      <alignment vertical="center"/>
    </xf>
    <xf numFmtId="3" fontId="32" fillId="9" borderId="326" xfId="57" applyNumberFormat="1" applyFont="1" applyFill="1" applyBorder="1" applyAlignment="1">
      <alignment horizontal="center" vertical="center"/>
    </xf>
    <xf numFmtId="3" fontId="32" fillId="0" borderId="215" xfId="57" applyNumberFormat="1" applyFont="1" applyBorder="1" applyAlignment="1">
      <alignment vertical="center"/>
    </xf>
    <xf numFmtId="3" fontId="32" fillId="0" borderId="213" xfId="57" applyNumberFormat="1" applyFont="1" applyBorder="1" applyAlignment="1">
      <alignment vertical="center"/>
    </xf>
    <xf numFmtId="3" fontId="32" fillId="0" borderId="213" xfId="57" applyNumberFormat="1" applyFont="1" applyBorder="1" applyAlignment="1">
      <alignment vertical="center" shrinkToFit="1"/>
    </xf>
    <xf numFmtId="3" fontId="32" fillId="0" borderId="214" xfId="57" applyNumberFormat="1" applyFont="1" applyBorder="1" applyAlignment="1">
      <alignment vertical="center" shrinkToFit="1"/>
    </xf>
    <xf numFmtId="3" fontId="32" fillId="0" borderId="214" xfId="57" applyNumberFormat="1" applyFont="1" applyBorder="1" applyAlignment="1">
      <alignment vertical="center"/>
    </xf>
    <xf numFmtId="3" fontId="32" fillId="4" borderId="51" xfId="57" applyNumberFormat="1" applyFont="1" applyFill="1" applyBorder="1" applyAlignment="1">
      <alignment horizontal="center" vertical="center"/>
    </xf>
    <xf numFmtId="3" fontId="32" fillId="4" borderId="200" xfId="57" applyNumberFormat="1" applyFont="1" applyFill="1" applyBorder="1" applyAlignment="1">
      <alignment vertical="center"/>
    </xf>
    <xf numFmtId="3" fontId="32" fillId="4" borderId="201" xfId="57" applyNumberFormat="1" applyFont="1" applyFill="1" applyBorder="1" applyAlignment="1">
      <alignment vertical="center"/>
    </xf>
    <xf numFmtId="3" fontId="32" fillId="4" borderId="201" xfId="57" applyNumberFormat="1" applyFont="1" applyFill="1" applyBorder="1" applyAlignment="1">
      <alignment vertical="center" shrinkToFit="1"/>
    </xf>
    <xf numFmtId="3" fontId="32" fillId="4" borderId="151" xfId="57" applyNumberFormat="1" applyFont="1" applyFill="1" applyBorder="1" applyAlignment="1">
      <alignment vertical="center" shrinkToFit="1"/>
    </xf>
    <xf numFmtId="3" fontId="32" fillId="4" borderId="151" xfId="57" applyNumberFormat="1" applyFont="1" applyFill="1" applyBorder="1" applyAlignment="1">
      <alignment vertical="center"/>
    </xf>
    <xf numFmtId="3" fontId="59" fillId="0" borderId="0" xfId="58" applyNumberFormat="1" applyFont="1" applyAlignment="1">
      <alignment vertical="center"/>
    </xf>
    <xf numFmtId="3" fontId="32" fillId="0" borderId="0" xfId="58" applyNumberFormat="1" applyFont="1" applyAlignment="1">
      <alignment vertical="center"/>
    </xf>
    <xf numFmtId="3" fontId="50" fillId="0" borderId="0" xfId="58" applyNumberFormat="1" applyFont="1" applyAlignment="1">
      <alignment vertical="center"/>
    </xf>
    <xf numFmtId="3" fontId="32" fillId="4" borderId="62" xfId="58" applyNumberFormat="1" applyFont="1" applyFill="1" applyBorder="1" applyAlignment="1">
      <alignment horizontal="center" vertical="center" wrapText="1"/>
    </xf>
    <xf numFmtId="3" fontId="32" fillId="5" borderId="62" xfId="58" applyNumberFormat="1" applyFont="1" applyFill="1" applyBorder="1" applyAlignment="1">
      <alignment horizontal="center" vertical="center" wrapText="1"/>
    </xf>
    <xf numFmtId="3" fontId="32" fillId="5" borderId="62" xfId="58" applyNumberFormat="1" applyFont="1" applyFill="1" applyBorder="1" applyAlignment="1">
      <alignment horizontal="center" vertical="center" wrapText="1"/>
    </xf>
    <xf numFmtId="3" fontId="32" fillId="4" borderId="62" xfId="58" applyNumberFormat="1" applyFont="1" applyFill="1" applyBorder="1" applyAlignment="1">
      <alignment horizontal="center" vertical="center" wrapText="1"/>
    </xf>
    <xf numFmtId="3" fontId="32" fillId="0" borderId="0" xfId="58" applyNumberFormat="1" applyFont="1" applyAlignment="1">
      <alignment vertical="center" wrapText="1"/>
    </xf>
    <xf numFmtId="3" fontId="32" fillId="0" borderId="62" xfId="58" applyNumberFormat="1" applyFont="1" applyBorder="1" applyAlignment="1">
      <alignment horizontal="center" vertical="center"/>
    </xf>
    <xf numFmtId="3" fontId="32" fillId="0" borderId="62" xfId="58" applyNumberFormat="1" applyFont="1" applyBorder="1" applyAlignment="1">
      <alignment horizontal="center" vertical="center"/>
    </xf>
    <xf numFmtId="3" fontId="32" fillId="4" borderId="62" xfId="58" applyNumberFormat="1" applyFont="1" applyFill="1" applyBorder="1" applyAlignment="1">
      <alignment vertical="center"/>
    </xf>
    <xf numFmtId="3" fontId="32" fillId="4" borderId="62" xfId="58" applyNumberFormat="1" applyFont="1" applyFill="1" applyBorder="1" applyAlignment="1">
      <alignment horizontal="center" vertical="center"/>
    </xf>
    <xf numFmtId="3" fontId="47" fillId="0" borderId="62" xfId="58" applyNumberFormat="1" applyFont="1" applyBorder="1" applyAlignment="1">
      <alignment vertical="center"/>
    </xf>
    <xf numFmtId="3" fontId="47" fillId="0" borderId="77" xfId="58" applyNumberFormat="1" applyFont="1" applyBorder="1" applyAlignment="1">
      <alignment horizontal="center" vertical="center"/>
    </xf>
    <xf numFmtId="3" fontId="47" fillId="0" borderId="253" xfId="58" applyNumberFormat="1" applyFont="1" applyBorder="1" applyAlignment="1">
      <alignment horizontal="center" vertical="center"/>
    </xf>
    <xf numFmtId="3" fontId="47" fillId="4" borderId="62" xfId="58" applyNumberFormat="1" applyFont="1" applyFill="1" applyBorder="1" applyAlignment="1">
      <alignment vertical="center"/>
    </xf>
    <xf numFmtId="3" fontId="32" fillId="0" borderId="62" xfId="58" applyNumberFormat="1" applyFont="1" applyBorder="1" applyAlignment="1">
      <alignment horizontal="center" vertical="center" wrapText="1"/>
    </xf>
    <xf numFmtId="181" fontId="32" fillId="0" borderId="62" xfId="58" applyNumberFormat="1" applyFont="1" applyBorder="1" applyAlignment="1">
      <alignment vertical="center"/>
    </xf>
    <xf numFmtId="10" fontId="32" fillId="0" borderId="62" xfId="58" applyNumberFormat="1" applyFont="1" applyBorder="1" applyAlignment="1">
      <alignment vertical="center"/>
    </xf>
    <xf numFmtId="9" fontId="32" fillId="0" borderId="62" xfId="58" applyNumberFormat="1" applyFont="1" applyBorder="1" applyAlignment="1">
      <alignment vertical="center"/>
    </xf>
    <xf numFmtId="203" fontId="32" fillId="4" borderId="62" xfId="58" applyNumberFormat="1" applyFont="1" applyFill="1" applyBorder="1" applyAlignment="1">
      <alignment vertical="center"/>
    </xf>
    <xf numFmtId="188" fontId="47" fillId="0" borderId="62" xfId="58" applyNumberFormat="1" applyFont="1" applyBorder="1" applyAlignment="1">
      <alignment vertical="center"/>
    </xf>
    <xf numFmtId="3" fontId="32" fillId="0" borderId="62" xfId="58" applyNumberFormat="1" applyFont="1" applyBorder="1" applyAlignment="1">
      <alignment vertical="center"/>
    </xf>
    <xf numFmtId="188" fontId="32" fillId="0" borderId="62" xfId="58" applyNumberFormat="1" applyFont="1" applyBorder="1" applyAlignment="1">
      <alignment vertical="center"/>
    </xf>
    <xf numFmtId="188" fontId="32" fillId="4" borderId="62" xfId="58" applyNumberFormat="1" applyFont="1" applyFill="1" applyBorder="1" applyAlignment="1">
      <alignment vertical="center"/>
    </xf>
    <xf numFmtId="188" fontId="32" fillId="0" borderId="62" xfId="58" applyNumberFormat="1" applyFont="1" applyBorder="1" applyAlignment="1">
      <alignment vertical="center"/>
    </xf>
    <xf numFmtId="3" fontId="32" fillId="0" borderId="62" xfId="58" applyNumberFormat="1" applyFont="1" applyBorder="1" applyAlignment="1">
      <alignment vertical="center"/>
    </xf>
    <xf numFmtId="3" fontId="32" fillId="0" borderId="0" xfId="58" applyNumberFormat="1" applyFont="1" applyAlignment="1">
      <alignment vertical="top"/>
    </xf>
    <xf numFmtId="3" fontId="32" fillId="0" borderId="0" xfId="58" applyNumberFormat="1" applyFont="1" applyAlignment="1">
      <alignment horizontal="center" vertical="center" wrapText="1"/>
    </xf>
    <xf numFmtId="0" fontId="57" fillId="0" borderId="0" xfId="59" applyFont="1" applyAlignment="1">
      <alignment horizontal="center" vertical="center" shrinkToFit="1"/>
    </xf>
    <xf numFmtId="0" fontId="25" fillId="0" borderId="0" xfId="59" applyFont="1" applyAlignment="1">
      <alignment vertical="center"/>
    </xf>
    <xf numFmtId="0" fontId="25" fillId="4" borderId="1" xfId="59" applyFont="1" applyFill="1" applyBorder="1" applyAlignment="1">
      <alignment horizontal="center" vertical="center"/>
    </xf>
    <xf numFmtId="0" fontId="25" fillId="4" borderId="1" xfId="59" applyFont="1" applyFill="1" applyBorder="1" applyAlignment="1">
      <alignment horizontal="distributed" vertical="center" indent="2"/>
    </xf>
    <xf numFmtId="0" fontId="25" fillId="0" borderId="1" xfId="59" applyFont="1" applyBorder="1" applyAlignment="1">
      <alignment horizontal="center" vertical="center"/>
    </xf>
    <xf numFmtId="0" fontId="25" fillId="0" borderId="1" xfId="59" applyFont="1" applyBorder="1" applyAlignment="1">
      <alignment horizontal="distributed" vertical="center" indent="2"/>
    </xf>
    <xf numFmtId="0" fontId="25" fillId="0" borderId="0" xfId="59" applyFont="1" applyAlignment="1">
      <alignment horizontal="distributed" vertical="center" indent="2"/>
    </xf>
    <xf numFmtId="0" fontId="25" fillId="0" borderId="0" xfId="59" applyFont="1" applyAlignment="1">
      <alignment horizontal="center" vertical="center"/>
    </xf>
    <xf numFmtId="0" fontId="8" fillId="0" borderId="0" xfId="60" applyFont="1" applyAlignment="1">
      <alignment vertical="center"/>
    </xf>
    <xf numFmtId="0" fontId="25" fillId="0" borderId="0" xfId="60" applyFont="1" applyAlignment="1">
      <alignment vertical="center"/>
    </xf>
    <xf numFmtId="0" fontId="25" fillId="4" borderId="1" xfId="60" applyFont="1" applyFill="1" applyBorder="1" applyAlignment="1">
      <alignment horizontal="distributed" vertical="center" indent="2"/>
    </xf>
    <xf numFmtId="0" fontId="25" fillId="4" borderId="2" xfId="60" applyFont="1" applyFill="1" applyBorder="1" applyAlignment="1">
      <alignment horizontal="center" vertical="center"/>
    </xf>
    <xf numFmtId="0" fontId="25" fillId="4" borderId="3" xfId="60" applyFont="1" applyFill="1" applyBorder="1" applyAlignment="1">
      <alignment horizontal="center" vertical="center"/>
    </xf>
    <xf numFmtId="0" fontId="25" fillId="4" borderId="4" xfId="60" applyFont="1" applyFill="1" applyBorder="1" applyAlignment="1">
      <alignment horizontal="center" vertical="center"/>
    </xf>
    <xf numFmtId="0" fontId="25" fillId="0" borderId="1" xfId="60" applyFont="1" applyBorder="1" applyAlignment="1">
      <alignment horizontal="distributed" vertical="center" indent="2"/>
    </xf>
    <xf numFmtId="0" fontId="25" fillId="0" borderId="2" xfId="60" applyFont="1" applyBorder="1" applyAlignment="1">
      <alignment horizontal="left" vertical="center" indent="1"/>
    </xf>
    <xf numFmtId="0" fontId="25" fillId="0" borderId="3" xfId="60" applyFont="1" applyBorder="1" applyAlignment="1">
      <alignment vertical="center"/>
    </xf>
    <xf numFmtId="0" fontId="25" fillId="0" borderId="4" xfId="60" applyFont="1" applyBorder="1" applyAlignment="1">
      <alignment vertical="center"/>
    </xf>
    <xf numFmtId="0" fontId="25" fillId="0" borderId="208" xfId="60" applyFont="1" applyBorder="1" applyAlignment="1">
      <alignment horizontal="left" vertical="center"/>
    </xf>
    <xf numFmtId="0" fontId="25" fillId="0" borderId="0" xfId="60" applyFont="1" applyAlignment="1">
      <alignment horizontal="left" vertical="center"/>
    </xf>
    <xf numFmtId="0" fontId="25" fillId="0" borderId="208" xfId="60" applyFont="1" applyBorder="1" applyAlignment="1">
      <alignment horizontal="center" vertical="center"/>
    </xf>
    <xf numFmtId="0" fontId="25" fillId="0" borderId="0" xfId="60" applyFont="1" applyAlignment="1">
      <alignment horizontal="center" vertical="center"/>
    </xf>
    <xf numFmtId="0" fontId="25" fillId="0" borderId="0" xfId="60" applyFont="1" applyAlignment="1">
      <alignment horizontal="center" vertical="center"/>
    </xf>
    <xf numFmtId="0" fontId="25" fillId="0" borderId="0" xfId="60" applyFont="1" applyAlignment="1">
      <alignment horizontal="left" vertical="center" indent="1"/>
    </xf>
    <xf numFmtId="0" fontId="25" fillId="4" borderId="1" xfId="60" applyFont="1" applyFill="1" applyBorder="1" applyAlignment="1">
      <alignment horizontal="center" vertical="center"/>
    </xf>
    <xf numFmtId="0" fontId="25" fillId="0" borderId="1" xfId="60" applyFont="1" applyBorder="1" applyAlignment="1">
      <alignment horizontal="center" vertical="center"/>
    </xf>
    <xf numFmtId="0" fontId="8" fillId="0" borderId="0" xfId="61" applyFont="1" applyAlignment="1">
      <alignment horizontal="left" vertical="center"/>
    </xf>
    <xf numFmtId="0" fontId="25" fillId="0" borderId="0" xfId="61" applyFont="1" applyAlignment="1">
      <alignment horizontal="center" vertical="center"/>
    </xf>
    <xf numFmtId="0" fontId="5" fillId="0" borderId="0" xfId="61" applyAlignment="1">
      <alignment horizontal="left" vertical="center" wrapText="1"/>
    </xf>
    <xf numFmtId="0" fontId="65" fillId="0" borderId="47" xfId="61" applyFont="1" applyBorder="1" applyAlignment="1">
      <alignment vertical="center"/>
    </xf>
    <xf numFmtId="0" fontId="66" fillId="0" borderId="47" xfId="61" applyFont="1" applyBorder="1" applyAlignment="1">
      <alignment vertical="center"/>
    </xf>
    <xf numFmtId="0" fontId="67" fillId="0" borderId="0" xfId="61" applyFont="1" applyAlignment="1">
      <alignment horizontal="center" vertical="center"/>
    </xf>
    <xf numFmtId="0" fontId="25" fillId="4" borderId="1" xfId="61" applyFont="1" applyFill="1" applyBorder="1" applyAlignment="1">
      <alignment horizontal="center" vertical="center"/>
    </xf>
    <xf numFmtId="0" fontId="25" fillId="4" borderId="1" xfId="61" applyFont="1" applyFill="1" applyBorder="1" applyAlignment="1">
      <alignment horizontal="center" vertical="center" wrapText="1"/>
    </xf>
    <xf numFmtId="177" fontId="68" fillId="2" borderId="1" xfId="61" applyNumberFormat="1" applyFont="1" applyFill="1" applyBorder="1" applyAlignment="1">
      <alignment horizontal="right" vertical="center"/>
    </xf>
    <xf numFmtId="178" fontId="68" fillId="2" borderId="1" xfId="61" applyNumberFormat="1" applyFont="1" applyFill="1" applyBorder="1" applyAlignment="1">
      <alignment horizontal="right" vertical="center"/>
    </xf>
    <xf numFmtId="0" fontId="25" fillId="4" borderId="28" xfId="61" applyFont="1" applyFill="1" applyBorder="1" applyAlignment="1">
      <alignment horizontal="center" vertical="center"/>
    </xf>
    <xf numFmtId="177" fontId="68" fillId="4" borderId="1" xfId="61" applyNumberFormat="1" applyFont="1" applyFill="1" applyBorder="1" applyAlignment="1">
      <alignment horizontal="right" vertical="center"/>
    </xf>
    <xf numFmtId="178" fontId="68" fillId="4" borderId="1" xfId="61" applyNumberFormat="1" applyFont="1" applyFill="1" applyBorder="1" applyAlignment="1">
      <alignment horizontal="right" vertical="center"/>
    </xf>
    <xf numFmtId="0" fontId="7" fillId="0" borderId="45" xfId="61" applyFont="1" applyBorder="1" applyAlignment="1">
      <alignment horizontal="right" vertical="top"/>
    </xf>
    <xf numFmtId="0" fontId="25" fillId="0" borderId="0" xfId="61" applyFont="1" applyAlignment="1">
      <alignment horizontal="left" vertical="center"/>
    </xf>
    <xf numFmtId="177" fontId="68" fillId="2" borderId="0" xfId="61" applyNumberFormat="1" applyFont="1" applyFill="1" applyAlignment="1">
      <alignment horizontal="right" vertical="center"/>
    </xf>
    <xf numFmtId="0" fontId="0" fillId="2" borderId="0" xfId="0" applyFill="1">
      <alignment vertical="center"/>
    </xf>
    <xf numFmtId="57" fontId="0" fillId="0" borderId="0" xfId="0" applyNumberFormat="1" applyAlignment="1">
      <alignment horizontal="right" vertical="center"/>
    </xf>
    <xf numFmtId="0" fontId="0" fillId="0" borderId="47" xfId="0" applyBorder="1" applyAlignment="1">
      <alignment vertical="center" wrapText="1"/>
    </xf>
    <xf numFmtId="0" fontId="0" fillId="4" borderId="383" xfId="0" applyFill="1" applyBorder="1" applyAlignment="1">
      <alignment horizontal="center" vertical="center"/>
    </xf>
    <xf numFmtId="0" fontId="0" fillId="4" borderId="6" xfId="0" applyFill="1" applyBorder="1" applyAlignment="1">
      <alignment horizontal="center" vertical="center"/>
    </xf>
    <xf numFmtId="0" fontId="10" fillId="0" borderId="0" xfId="0" applyFont="1" applyAlignment="1">
      <alignment horizontal="center" vertical="center" wrapText="1"/>
    </xf>
    <xf numFmtId="0" fontId="0" fillId="4" borderId="14" xfId="0" applyFill="1" applyBorder="1" applyAlignment="1">
      <alignment horizontal="center" vertical="center"/>
    </xf>
    <xf numFmtId="0" fontId="0" fillId="0" borderId="49" xfId="0" applyBorder="1">
      <alignment vertical="center"/>
    </xf>
    <xf numFmtId="0" fontId="0" fillId="0" borderId="56" xfId="0" applyBorder="1" applyAlignment="1">
      <alignment horizontal="left" vertical="center" wrapText="1"/>
    </xf>
    <xf numFmtId="0" fontId="0" fillId="0" borderId="45" xfId="0" applyBorder="1" applyAlignment="1">
      <alignment horizontal="left" vertical="center" wrapText="1"/>
    </xf>
    <xf numFmtId="0" fontId="0" fillId="0" borderId="59" xfId="0" applyBorder="1" applyAlignment="1">
      <alignment horizontal="left" vertical="center" wrapText="1"/>
    </xf>
    <xf numFmtId="0" fontId="7" fillId="0" borderId="225" xfId="0" applyFont="1" applyBorder="1" applyAlignment="1">
      <alignment horizontal="left" vertical="center"/>
    </xf>
    <xf numFmtId="57" fontId="0" fillId="0" borderId="21" xfId="0" applyNumberFormat="1" applyBorder="1" applyAlignment="1">
      <alignment horizontal="center" vertical="center"/>
    </xf>
    <xf numFmtId="57" fontId="0" fillId="0" borderId="0" xfId="0" applyNumberFormat="1" applyAlignment="1">
      <alignment horizontal="center" vertical="center"/>
    </xf>
    <xf numFmtId="0" fontId="7" fillId="0" borderId="233" xfId="0" applyFont="1" applyBorder="1" applyAlignment="1">
      <alignment horizontal="left" vertical="center"/>
    </xf>
    <xf numFmtId="57" fontId="0" fillId="0" borderId="29" xfId="0" applyNumberFormat="1" applyBorder="1" applyAlignment="1">
      <alignment horizontal="center" vertical="center"/>
    </xf>
    <xf numFmtId="0" fontId="0" fillId="0" borderId="208" xfId="0" applyBorder="1" applyAlignment="1">
      <alignment horizontal="left" vertical="center" wrapText="1"/>
    </xf>
    <xf numFmtId="0" fontId="0" fillId="0" borderId="0" xfId="0" applyAlignment="1">
      <alignment horizontal="left" vertical="center" wrapText="1"/>
    </xf>
    <xf numFmtId="0" fontId="0" fillId="0" borderId="50" xfId="0" applyBorder="1" applyAlignment="1">
      <alignment horizontal="left" vertical="center" wrapText="1"/>
    </xf>
    <xf numFmtId="0" fontId="7" fillId="0" borderId="230" xfId="0" applyFont="1" applyBorder="1" applyAlignment="1">
      <alignment horizontal="left" vertical="center"/>
    </xf>
    <xf numFmtId="0" fontId="7" fillId="0" borderId="232" xfId="0" applyFont="1" applyBorder="1" applyAlignment="1">
      <alignment horizontal="left" vertical="center"/>
    </xf>
    <xf numFmtId="57" fontId="0" fillId="0" borderId="385" xfId="0" applyNumberFormat="1" applyBorder="1" applyAlignment="1">
      <alignment horizontal="center" vertical="center"/>
    </xf>
    <xf numFmtId="0" fontId="0" fillId="0" borderId="51" xfId="0" applyBorder="1" applyAlignment="1">
      <alignment horizontal="left" vertical="center" wrapText="1"/>
    </xf>
    <xf numFmtId="0" fontId="0" fillId="0" borderId="47" xfId="0" applyBorder="1" applyAlignment="1">
      <alignment horizontal="left" vertical="center" wrapText="1"/>
    </xf>
    <xf numFmtId="0" fontId="0" fillId="0" borderId="154" xfId="0" applyBorder="1" applyAlignment="1">
      <alignment horizontal="left" vertical="center" wrapText="1"/>
    </xf>
    <xf numFmtId="0" fontId="0" fillId="0" borderId="0" xfId="0" applyAlignment="1">
      <alignment horizontal="center" vertical="center"/>
    </xf>
    <xf numFmtId="0" fontId="7" fillId="0" borderId="234" xfId="0" applyFont="1" applyBorder="1" applyAlignment="1">
      <alignment horizontal="left" vertical="center"/>
    </xf>
    <xf numFmtId="0" fontId="7" fillId="0" borderId="229" xfId="0" applyFont="1" applyBorder="1" applyAlignment="1">
      <alignment horizontal="left" vertical="center"/>
    </xf>
    <xf numFmtId="0" fontId="0" fillId="4" borderId="5" xfId="0" applyFill="1" applyBorder="1" applyAlignment="1">
      <alignment horizontal="center" vertical="center"/>
    </xf>
    <xf numFmtId="0" fontId="0" fillId="4" borderId="384" xfId="0" applyFill="1" applyBorder="1" applyAlignment="1">
      <alignment horizontal="center" vertical="center"/>
    </xf>
    <xf numFmtId="0" fontId="0" fillId="5" borderId="27" xfId="0" applyFill="1" applyBorder="1" applyAlignment="1">
      <alignment horizontal="center" vertical="center"/>
    </xf>
    <xf numFmtId="0" fontId="7" fillId="0" borderId="233" xfId="0" applyFont="1" applyBorder="1" applyAlignment="1">
      <alignment horizontal="left" vertical="center" wrapText="1"/>
    </xf>
    <xf numFmtId="0" fontId="75" fillId="0" borderId="47" xfId="0" applyFont="1" applyBorder="1" applyAlignment="1">
      <alignment horizontal="left" vertical="center"/>
    </xf>
    <xf numFmtId="0" fontId="7" fillId="0" borderId="225" xfId="0" applyFont="1" applyBorder="1" applyAlignment="1">
      <alignment horizontal="left" vertical="center" wrapText="1"/>
    </xf>
    <xf numFmtId="0" fontId="7" fillId="0" borderId="232" xfId="0" applyFont="1" applyBorder="1" applyAlignment="1">
      <alignment horizontal="left" vertical="center" wrapText="1"/>
    </xf>
    <xf numFmtId="0" fontId="7" fillId="9" borderId="374" xfId="0" applyFont="1" applyFill="1" applyBorder="1" applyAlignment="1">
      <alignment horizontal="left" vertical="center" wrapText="1"/>
    </xf>
    <xf numFmtId="0" fontId="7" fillId="0" borderId="387" xfId="0" applyFont="1" applyBorder="1" applyAlignment="1">
      <alignment horizontal="left" vertical="center" wrapText="1"/>
    </xf>
    <xf numFmtId="57" fontId="0" fillId="0" borderId="386" xfId="0" applyNumberFormat="1" applyBorder="1" applyAlignment="1">
      <alignment horizontal="center" vertical="center"/>
    </xf>
    <xf numFmtId="0" fontId="0" fillId="4" borderId="36" xfId="0" applyFill="1" applyBorder="1" applyAlignment="1">
      <alignment horizontal="center" vertical="center"/>
    </xf>
    <xf numFmtId="0" fontId="7" fillId="0" borderId="233" xfId="0" applyFont="1" applyBorder="1" applyAlignment="1">
      <alignment horizontal="left" vertical="center" shrinkToFit="1"/>
    </xf>
    <xf numFmtId="0" fontId="7" fillId="0" borderId="230" xfId="0" applyFont="1" applyBorder="1" applyAlignment="1">
      <alignment horizontal="left" vertical="center" wrapText="1"/>
    </xf>
    <xf numFmtId="0" fontId="7" fillId="0" borderId="228" xfId="0" applyFont="1" applyBorder="1" applyAlignment="1">
      <alignment horizontal="left" vertical="center"/>
    </xf>
    <xf numFmtId="0" fontId="7" fillId="0" borderId="208" xfId="0" applyFont="1" applyBorder="1" applyAlignment="1">
      <alignment horizontal="left" vertical="center"/>
    </xf>
    <xf numFmtId="0" fontId="7" fillId="0" borderId="28" xfId="0" applyFont="1" applyBorder="1" applyAlignment="1">
      <alignment horizontal="left" vertical="center"/>
    </xf>
    <xf numFmtId="0" fontId="7" fillId="0" borderId="236" xfId="0" applyFont="1" applyBorder="1" applyAlignment="1">
      <alignment horizontal="left" vertical="center"/>
    </xf>
    <xf numFmtId="0" fontId="7" fillId="0" borderId="53" xfId="0" applyFont="1" applyBorder="1" applyAlignment="1">
      <alignment horizontal="left" vertical="center"/>
    </xf>
    <xf numFmtId="0" fontId="7" fillId="0" borderId="393" xfId="0" applyFont="1" applyBorder="1" applyAlignment="1">
      <alignment horizontal="left" vertical="center"/>
    </xf>
    <xf numFmtId="57" fontId="0" fillId="0" borderId="43" xfId="0" applyNumberFormat="1" applyBorder="1" applyAlignment="1">
      <alignment horizontal="center" vertical="center"/>
    </xf>
    <xf numFmtId="0" fontId="7" fillId="0" borderId="387" xfId="0" applyFont="1" applyBorder="1" applyAlignment="1">
      <alignment horizontal="left" vertical="center"/>
    </xf>
    <xf numFmtId="0" fontId="0" fillId="0" borderId="0" xfId="0" applyAlignment="1">
      <alignment horizontal="left" vertical="center"/>
    </xf>
    <xf numFmtId="0" fontId="35" fillId="0" borderId="0" xfId="62" applyFont="1"/>
    <xf numFmtId="0" fontId="5" fillId="0" borderId="0" xfId="62" applyAlignment="1">
      <alignment vertical="center" wrapText="1"/>
    </xf>
    <xf numFmtId="0" fontId="5" fillId="0" borderId="0" xfId="62"/>
    <xf numFmtId="0" fontId="10" fillId="4" borderId="28" xfId="62" applyFont="1" applyFill="1" applyBorder="1" applyAlignment="1">
      <alignment horizontal="center" vertical="center"/>
    </xf>
    <xf numFmtId="0" fontId="10" fillId="4" borderId="28" xfId="62" applyFont="1" applyFill="1" applyBorder="1" applyAlignment="1">
      <alignment horizontal="center" vertical="center" wrapText="1"/>
    </xf>
    <xf numFmtId="0" fontId="10" fillId="4" borderId="1" xfId="62" applyFont="1" applyFill="1" applyBorder="1" applyAlignment="1">
      <alignment horizontal="center" vertical="center"/>
    </xf>
    <xf numFmtId="0" fontId="5" fillId="0" borderId="0" xfId="62" applyAlignment="1">
      <alignment horizontal="center" vertical="center"/>
    </xf>
    <xf numFmtId="0" fontId="5" fillId="5" borderId="36" xfId="62" applyFill="1" applyBorder="1" applyAlignment="1">
      <alignment horizontal="center" vertical="center"/>
    </xf>
    <xf numFmtId="0" fontId="10" fillId="5" borderId="52" xfId="62" applyFont="1" applyFill="1" applyBorder="1" applyAlignment="1">
      <alignment vertical="center" wrapText="1"/>
    </xf>
    <xf numFmtId="0" fontId="10" fillId="0" borderId="52" xfId="62" applyFont="1" applyBorder="1" applyAlignment="1">
      <alignment vertical="center" wrapText="1"/>
    </xf>
    <xf numFmtId="0" fontId="10" fillId="0" borderId="52" xfId="62" applyFont="1" applyBorder="1" applyAlignment="1">
      <alignment horizontal="center" vertical="center" wrapText="1"/>
    </xf>
    <xf numFmtId="0" fontId="10" fillId="0" borderId="384" xfId="62" applyFont="1" applyBorder="1" applyAlignment="1">
      <alignment horizontal="center" vertical="center" wrapText="1"/>
    </xf>
    <xf numFmtId="0" fontId="10" fillId="0" borderId="27" xfId="62" applyFont="1" applyBorder="1" applyAlignment="1">
      <alignment horizontal="center" vertical="center" wrapText="1"/>
    </xf>
    <xf numFmtId="0" fontId="10" fillId="0" borderId="388" xfId="62" applyFont="1" applyBorder="1" applyAlignment="1">
      <alignment horizontal="center" vertical="center" wrapText="1"/>
    </xf>
    <xf numFmtId="0" fontId="5" fillId="5" borderId="19" xfId="62" applyFill="1" applyBorder="1" applyAlignment="1">
      <alignment horizontal="center" vertical="center"/>
    </xf>
    <xf numFmtId="0" fontId="10" fillId="5" borderId="1" xfId="62" applyFont="1" applyFill="1" applyBorder="1" applyAlignment="1">
      <alignment vertical="center" wrapText="1"/>
    </xf>
    <xf numFmtId="0" fontId="10" fillId="0" borderId="1" xfId="62" applyFont="1" applyBorder="1" applyAlignment="1">
      <alignment vertical="center" wrapText="1"/>
    </xf>
    <xf numFmtId="0" fontId="10" fillId="0" borderId="53" xfId="62" applyFont="1" applyBorder="1" applyAlignment="1">
      <alignment horizontal="center" vertical="center" wrapText="1"/>
    </xf>
    <xf numFmtId="0" fontId="10" fillId="0" borderId="385" xfId="62" applyFont="1" applyBorder="1" applyAlignment="1">
      <alignment horizontal="center" vertical="center" wrapText="1"/>
    </xf>
    <xf numFmtId="0" fontId="10" fillId="0" borderId="40" xfId="62" applyFont="1" applyBorder="1" applyAlignment="1">
      <alignment horizontal="center" vertical="center" wrapText="1"/>
    </xf>
    <xf numFmtId="0" fontId="10" fillId="0" borderId="389" xfId="62" applyFont="1" applyBorder="1" applyAlignment="1">
      <alignment horizontal="center" vertical="center" wrapText="1"/>
    </xf>
    <xf numFmtId="0" fontId="10" fillId="0" borderId="1" xfId="62" applyFont="1" applyBorder="1" applyAlignment="1">
      <alignment horizontal="center" vertical="center" wrapText="1"/>
    </xf>
    <xf numFmtId="0" fontId="10" fillId="0" borderId="29" xfId="62" applyFont="1" applyBorder="1" applyAlignment="1">
      <alignment horizontal="center" vertical="center" wrapText="1"/>
    </xf>
    <xf numFmtId="0" fontId="10" fillId="0" borderId="28" xfId="62" applyFont="1" applyBorder="1" applyAlignment="1">
      <alignment horizontal="center" vertical="center" wrapText="1"/>
    </xf>
    <xf numFmtId="0" fontId="10" fillId="0" borderId="29" xfId="62" applyFont="1" applyBorder="1" applyAlignment="1">
      <alignment horizontal="left" vertical="center" wrapText="1"/>
    </xf>
    <xf numFmtId="0" fontId="10" fillId="0" borderId="390" xfId="62" applyFont="1" applyBorder="1" applyAlignment="1">
      <alignment horizontal="left" vertical="center" wrapText="1"/>
    </xf>
    <xf numFmtId="0" fontId="5" fillId="5" borderId="23" xfId="62" applyFill="1" applyBorder="1" applyAlignment="1">
      <alignment horizontal="center" vertical="center"/>
    </xf>
    <xf numFmtId="0" fontId="10" fillId="5" borderId="24" xfId="62" applyFont="1" applyFill="1" applyBorder="1" applyAlignment="1">
      <alignment vertical="center" wrapText="1"/>
    </xf>
    <xf numFmtId="0" fontId="10" fillId="0" borderId="24" xfId="62" applyFont="1" applyBorder="1" applyAlignment="1">
      <alignment vertical="center" wrapText="1"/>
    </xf>
    <xf numFmtId="0" fontId="10" fillId="0" borderId="374" xfId="62" applyFont="1" applyBorder="1" applyAlignment="1">
      <alignment horizontal="center" vertical="center" wrapText="1"/>
    </xf>
    <xf numFmtId="0" fontId="10" fillId="0" borderId="386" xfId="62" applyFont="1" applyBorder="1" applyAlignment="1">
      <alignment horizontal="left" vertical="center" wrapText="1"/>
    </xf>
    <xf numFmtId="0" fontId="5" fillId="5" borderId="13" xfId="62" applyFill="1" applyBorder="1" applyAlignment="1">
      <alignment horizontal="center" vertical="center"/>
    </xf>
    <xf numFmtId="0" fontId="10" fillId="5" borderId="14" xfId="62" applyFont="1" applyFill="1" applyBorder="1" applyAlignment="1">
      <alignment vertical="center" wrapText="1"/>
    </xf>
    <xf numFmtId="0" fontId="10" fillId="0" borderId="14" xfId="62" applyFont="1" applyBorder="1" applyAlignment="1">
      <alignment vertical="center" wrapText="1"/>
    </xf>
    <xf numFmtId="0" fontId="10" fillId="0" borderId="390" xfId="62" applyFont="1" applyBorder="1" applyAlignment="1">
      <alignment horizontal="center" vertical="center" wrapText="1"/>
    </xf>
    <xf numFmtId="0" fontId="10" fillId="0" borderId="386" xfId="62" applyFont="1" applyBorder="1" applyAlignment="1">
      <alignment horizontal="center" vertical="center" wrapText="1"/>
    </xf>
    <xf numFmtId="0" fontId="10" fillId="0" borderId="54" xfId="62" applyFont="1" applyBorder="1" applyAlignment="1">
      <alignment horizontal="center" vertical="center" wrapText="1"/>
    </xf>
    <xf numFmtId="0" fontId="10" fillId="0" borderId="391" xfId="62" applyFont="1" applyBorder="1" applyAlignment="1">
      <alignment horizontal="center" vertical="center" wrapText="1"/>
    </xf>
    <xf numFmtId="0" fontId="5" fillId="5" borderId="55" xfId="62" applyFill="1" applyBorder="1" applyAlignment="1">
      <alignment horizontal="center" vertical="center"/>
    </xf>
    <xf numFmtId="0" fontId="10" fillId="5" borderId="55" xfId="62" applyFont="1" applyFill="1" applyBorder="1" applyAlignment="1">
      <alignment vertical="center" wrapText="1"/>
    </xf>
    <xf numFmtId="0" fontId="10" fillId="0" borderId="55" xfId="62" applyFont="1" applyBorder="1" applyAlignment="1">
      <alignment vertical="center" wrapText="1"/>
    </xf>
    <xf numFmtId="0" fontId="10" fillId="0" borderId="53" xfId="62" applyFont="1" applyBorder="1" applyAlignment="1">
      <alignment horizontal="center" vertical="center" wrapText="1"/>
    </xf>
    <xf numFmtId="0" fontId="10" fillId="0" borderId="53" xfId="62" applyFont="1" applyBorder="1" applyAlignment="1">
      <alignment horizontal="left" vertical="center" wrapText="1"/>
    </xf>
    <xf numFmtId="0" fontId="10" fillId="0" borderId="1" xfId="62" applyFont="1" applyBorder="1" applyAlignment="1">
      <alignment horizontal="left" vertical="center" wrapText="1"/>
    </xf>
    <xf numFmtId="0" fontId="5" fillId="5" borderId="1" xfId="62" applyFill="1" applyBorder="1" applyAlignment="1">
      <alignment horizontal="center" vertical="center"/>
    </xf>
    <xf numFmtId="0" fontId="10" fillId="0" borderId="1" xfId="62" applyFont="1" applyBorder="1" applyAlignment="1">
      <alignment horizontal="center" vertical="center" wrapText="1"/>
    </xf>
    <xf numFmtId="0" fontId="10" fillId="0" borderId="28" xfId="62" applyFont="1" applyBorder="1" applyAlignment="1">
      <alignment horizontal="left" vertical="center" wrapText="1"/>
    </xf>
    <xf numFmtId="0" fontId="10" fillId="0" borderId="55" xfId="62" applyFont="1" applyBorder="1" applyAlignment="1">
      <alignment horizontal="left" vertical="center" wrapText="1"/>
    </xf>
    <xf numFmtId="0" fontId="10" fillId="0" borderId="55" xfId="62" applyFont="1" applyBorder="1" applyAlignment="1">
      <alignment horizontal="center" vertical="center" wrapText="1"/>
    </xf>
    <xf numFmtId="0" fontId="5" fillId="0" borderId="0" xfId="62" applyAlignment="1">
      <alignment vertical="center"/>
    </xf>
    <xf numFmtId="0" fontId="5" fillId="0" borderId="0" xfId="23" applyAlignment="1">
      <alignment vertical="center"/>
    </xf>
    <xf numFmtId="0" fontId="7" fillId="0" borderId="47" xfId="23" applyFont="1" applyBorder="1" applyAlignment="1">
      <alignment horizontal="right" vertical="center"/>
    </xf>
    <xf numFmtId="0" fontId="5" fillId="0" borderId="3" xfId="23" applyBorder="1" applyAlignment="1">
      <alignment horizontal="center" vertical="center"/>
    </xf>
    <xf numFmtId="0" fontId="5" fillId="0" borderId="0" xfId="23" applyAlignment="1">
      <alignment horizontal="center" vertical="center"/>
    </xf>
    <xf numFmtId="0" fontId="10" fillId="0" borderId="1" xfId="23" applyFont="1" applyBorder="1" applyAlignment="1">
      <alignment horizontal="center" vertical="center"/>
    </xf>
    <xf numFmtId="184" fontId="10" fillId="0" borderId="1" xfId="23" applyNumberFormat="1" applyFont="1" applyBorder="1" applyAlignment="1">
      <alignment vertical="center"/>
    </xf>
    <xf numFmtId="204" fontId="10" fillId="0" borderId="1" xfId="23" applyNumberFormat="1" applyFont="1" applyBorder="1" applyAlignment="1">
      <alignment horizontal="center" vertical="center"/>
    </xf>
    <xf numFmtId="196" fontId="10" fillId="0" borderId="1" xfId="23" applyNumberFormat="1" applyFont="1" applyBorder="1" applyAlignment="1">
      <alignment horizontal="center" vertical="center"/>
    </xf>
    <xf numFmtId="0" fontId="10" fillId="0" borderId="1" xfId="23" applyFont="1" applyBorder="1" applyAlignment="1">
      <alignment horizontal="center" vertical="center"/>
    </xf>
    <xf numFmtId="0" fontId="10" fillId="0" borderId="28" xfId="23" applyFont="1" applyBorder="1" applyAlignment="1">
      <alignment horizontal="left" vertical="center"/>
    </xf>
    <xf numFmtId="0" fontId="10" fillId="0" borderId="53" xfId="23" applyFont="1" applyBorder="1" applyAlignment="1">
      <alignment horizontal="left" vertical="center"/>
    </xf>
    <xf numFmtId="0" fontId="10" fillId="0" borderId="55" xfId="23" applyFont="1" applyBorder="1" applyAlignment="1">
      <alignment horizontal="left" vertical="center"/>
    </xf>
    <xf numFmtId="0" fontId="10" fillId="0" borderId="1" xfId="23" applyFont="1" applyBorder="1" applyAlignment="1">
      <alignment horizontal="left" vertical="center" wrapText="1" indent="1"/>
    </xf>
    <xf numFmtId="0" fontId="10" fillId="0" borderId="1" xfId="23" applyFont="1" applyBorder="1" applyAlignment="1">
      <alignment horizontal="left" vertical="center" wrapText="1" indent="1"/>
    </xf>
    <xf numFmtId="0" fontId="8" fillId="0" borderId="0" xfId="63" applyFont="1" applyAlignment="1">
      <alignment vertical="center"/>
    </xf>
    <xf numFmtId="0" fontId="7" fillId="0" borderId="0" xfId="63" applyFont="1" applyAlignment="1">
      <alignment horizontal="left" vertical="center" indent="1"/>
    </xf>
    <xf numFmtId="0" fontId="7" fillId="0" borderId="0" xfId="63" applyFont="1" applyAlignment="1">
      <alignment vertical="center"/>
    </xf>
    <xf numFmtId="0" fontId="5" fillId="0" borderId="0" xfId="63" applyAlignment="1">
      <alignment vertical="center"/>
    </xf>
    <xf numFmtId="0" fontId="7" fillId="0" borderId="0" xfId="63" applyFont="1" applyAlignment="1">
      <alignment vertical="center" wrapText="1"/>
    </xf>
    <xf numFmtId="0" fontId="7" fillId="0" borderId="0" xfId="63" applyFont="1" applyAlignment="1">
      <alignment vertical="center"/>
    </xf>
    <xf numFmtId="0" fontId="10" fillId="0" borderId="0" xfId="63" applyFont="1" applyAlignment="1">
      <alignment vertical="center" wrapText="1"/>
    </xf>
    <xf numFmtId="0" fontId="7" fillId="0" borderId="0" xfId="63" applyFont="1" applyAlignment="1">
      <alignment horizontal="center" vertical="center"/>
    </xf>
    <xf numFmtId="0" fontId="7" fillId="0" borderId="47" xfId="63" applyFont="1" applyBorder="1" applyAlignment="1">
      <alignment horizontal="right" vertical="center"/>
    </xf>
    <xf numFmtId="0" fontId="7" fillId="4" borderId="56" xfId="63" applyFont="1" applyFill="1" applyBorder="1" applyAlignment="1">
      <alignment horizontal="center" vertical="center"/>
    </xf>
    <xf numFmtId="0" fontId="7" fillId="4" borderId="1" xfId="63" applyFont="1" applyFill="1" applyBorder="1" applyAlignment="1">
      <alignment horizontal="center" vertical="center"/>
    </xf>
    <xf numFmtId="0" fontId="7" fillId="4" borderId="3" xfId="63" applyFont="1" applyFill="1" applyBorder="1" applyAlignment="1">
      <alignment horizontal="center" vertical="center"/>
    </xf>
    <xf numFmtId="0" fontId="7" fillId="4" borderId="1" xfId="63" applyFont="1" applyFill="1" applyBorder="1" applyAlignment="1">
      <alignment horizontal="center" vertical="center" wrapText="1"/>
    </xf>
    <xf numFmtId="0" fontId="7" fillId="4" borderId="2" xfId="63" applyFont="1" applyFill="1" applyBorder="1" applyAlignment="1">
      <alignment horizontal="center" vertical="center" wrapText="1"/>
    </xf>
    <xf numFmtId="0" fontId="7" fillId="4" borderId="4" xfId="63" applyFont="1" applyFill="1" applyBorder="1" applyAlignment="1">
      <alignment horizontal="center" vertical="center"/>
    </xf>
    <xf numFmtId="0" fontId="5" fillId="0" borderId="0" xfId="63" applyAlignment="1">
      <alignment horizontal="center" vertical="center"/>
    </xf>
    <xf numFmtId="0" fontId="10" fillId="0" borderId="28" xfId="63" applyFont="1" applyBorder="1" applyAlignment="1">
      <alignment horizontal="center" vertical="center"/>
    </xf>
    <xf numFmtId="0" fontId="10" fillId="0" borderId="28" xfId="63" applyFont="1" applyBorder="1" applyAlignment="1">
      <alignment horizontal="left" vertical="center"/>
    </xf>
    <xf numFmtId="0" fontId="10" fillId="0" borderId="1" xfId="63" applyFont="1" applyBorder="1" applyAlignment="1">
      <alignment horizontal="left" vertical="center" indent="1"/>
    </xf>
    <xf numFmtId="205" fontId="10" fillId="0" borderId="1" xfId="63" applyNumberFormat="1" applyFont="1" applyBorder="1" applyAlignment="1">
      <alignment vertical="center"/>
    </xf>
    <xf numFmtId="57" fontId="10" fillId="0" borderId="28" xfId="63" applyNumberFormat="1" applyFont="1" applyBorder="1" applyAlignment="1">
      <alignment horizontal="center" vertical="center"/>
    </xf>
    <xf numFmtId="204" fontId="10" fillId="0" borderId="28" xfId="63" applyNumberFormat="1" applyFont="1" applyBorder="1" applyAlignment="1">
      <alignment horizontal="center" vertical="center"/>
    </xf>
    <xf numFmtId="196" fontId="10" fillId="0" borderId="28" xfId="63" applyNumberFormat="1" applyFont="1" applyBorder="1" applyAlignment="1">
      <alignment horizontal="center" vertical="center"/>
    </xf>
    <xf numFmtId="0" fontId="10" fillId="0" borderId="0" xfId="63" applyFont="1" applyAlignment="1">
      <alignment vertical="center"/>
    </xf>
    <xf numFmtId="0" fontId="10" fillId="0" borderId="53" xfId="63" applyFont="1" applyBorder="1" applyAlignment="1">
      <alignment horizontal="center" vertical="center"/>
    </xf>
    <xf numFmtId="0" fontId="10" fillId="0" borderId="53" xfId="63" applyFont="1" applyBorder="1" applyAlignment="1">
      <alignment horizontal="left" vertical="center"/>
    </xf>
    <xf numFmtId="57" fontId="10" fillId="0" borderId="55" xfId="63" applyNumberFormat="1" applyFont="1" applyBorder="1" applyAlignment="1">
      <alignment horizontal="center" vertical="center"/>
    </xf>
    <xf numFmtId="204" fontId="10" fillId="0" borderId="55" xfId="63" applyNumberFormat="1" applyFont="1" applyBorder="1" applyAlignment="1">
      <alignment horizontal="center" vertical="center"/>
    </xf>
    <xf numFmtId="196" fontId="10" fillId="0" borderId="55" xfId="63" applyNumberFormat="1" applyFont="1" applyBorder="1" applyAlignment="1">
      <alignment horizontal="center" vertical="center"/>
    </xf>
    <xf numFmtId="0" fontId="10" fillId="0" borderId="55" xfId="63" applyFont="1" applyBorder="1" applyAlignment="1">
      <alignment horizontal="center" vertical="center"/>
    </xf>
    <xf numFmtId="57" fontId="10" fillId="0" borderId="1" xfId="63" applyNumberFormat="1" applyFont="1" applyBorder="1" applyAlignment="1">
      <alignment horizontal="center" vertical="center"/>
    </xf>
    <xf numFmtId="0" fontId="10" fillId="0" borderId="1" xfId="63" applyFont="1" applyBorder="1" applyAlignment="1">
      <alignment horizontal="center" vertical="center"/>
    </xf>
    <xf numFmtId="196" fontId="10" fillId="0" borderId="1" xfId="63" applyNumberFormat="1" applyFont="1" applyBorder="1" applyAlignment="1">
      <alignment horizontal="center" vertical="center"/>
    </xf>
    <xf numFmtId="0" fontId="10" fillId="0" borderId="55" xfId="63" applyFont="1" applyBorder="1" applyAlignment="1">
      <alignment horizontal="left" vertical="center"/>
    </xf>
    <xf numFmtId="0" fontId="10" fillId="0" borderId="1" xfId="63" applyFont="1" applyBorder="1" applyAlignment="1">
      <alignment vertical="center"/>
    </xf>
    <xf numFmtId="57" fontId="10" fillId="0" borderId="53" xfId="63" applyNumberFormat="1" applyFont="1" applyBorder="1" applyAlignment="1">
      <alignment horizontal="center" vertical="center"/>
    </xf>
    <xf numFmtId="196" fontId="10" fillId="0" borderId="53" xfId="63" applyNumberFormat="1" applyFont="1" applyBorder="1" applyAlignment="1">
      <alignment horizontal="center" vertical="center"/>
    </xf>
    <xf numFmtId="205" fontId="10" fillId="0" borderId="28" xfId="63" applyNumberFormat="1" applyFont="1" applyBorder="1" applyAlignment="1">
      <alignment vertical="center"/>
    </xf>
    <xf numFmtId="0" fontId="10" fillId="0" borderId="1" xfId="63" applyFont="1" applyBorder="1" applyAlignment="1">
      <alignment horizontal="left" vertical="center"/>
    </xf>
    <xf numFmtId="0" fontId="10" fillId="4" borderId="1" xfId="63" applyFont="1" applyFill="1" applyBorder="1" applyAlignment="1">
      <alignment horizontal="center" vertical="center"/>
    </xf>
    <xf numFmtId="0" fontId="10" fillId="4" borderId="1" xfId="63" applyFont="1" applyFill="1" applyBorder="1" applyAlignment="1">
      <alignment horizontal="center" vertical="center"/>
    </xf>
    <xf numFmtId="0" fontId="10" fillId="4" borderId="1" xfId="63" applyFont="1" applyFill="1" applyBorder="1" applyAlignment="1">
      <alignment vertical="center"/>
    </xf>
    <xf numFmtId="0" fontId="10" fillId="0" borderId="0" xfId="63" applyFont="1" applyAlignment="1">
      <alignment horizontal="left" vertical="center" indent="1"/>
    </xf>
    <xf numFmtId="0" fontId="10" fillId="0" borderId="0" xfId="63" applyFont="1" applyAlignment="1">
      <alignment horizontal="center" vertical="center"/>
    </xf>
    <xf numFmtId="0" fontId="8" fillId="0" borderId="0" xfId="64" applyFont="1" applyAlignment="1">
      <alignment vertical="top"/>
    </xf>
    <xf numFmtId="0" fontId="8" fillId="0" borderId="0" xfId="64" applyFont="1" applyAlignment="1">
      <alignment horizontal="center" vertical="top"/>
    </xf>
    <xf numFmtId="0" fontId="7" fillId="0" borderId="0" xfId="64" applyFont="1" applyAlignment="1">
      <alignment vertical="top"/>
    </xf>
    <xf numFmtId="0" fontId="7" fillId="0" borderId="0" xfId="64" applyFont="1" applyAlignment="1">
      <alignment horizontal="center" vertical="top"/>
    </xf>
    <xf numFmtId="0" fontId="10" fillId="0" borderId="0" xfId="64" applyFont="1" applyAlignment="1">
      <alignment vertical="top" wrapText="1"/>
    </xf>
    <xf numFmtId="0" fontId="26" fillId="0" borderId="0" xfId="64" applyFont="1" applyAlignment="1">
      <alignment vertical="top"/>
    </xf>
    <xf numFmtId="0" fontId="26" fillId="0" borderId="0" xfId="64" applyFont="1" applyAlignment="1">
      <alignment horizontal="center" vertical="top"/>
    </xf>
    <xf numFmtId="0" fontId="26" fillId="0" borderId="0" xfId="64" applyFont="1" applyAlignment="1">
      <alignment horizontal="right" vertical="top"/>
    </xf>
    <xf numFmtId="0" fontId="10" fillId="0" borderId="0" xfId="64" applyFont="1" applyAlignment="1">
      <alignment vertical="top"/>
    </xf>
    <xf numFmtId="0" fontId="7" fillId="4" borderId="2" xfId="64" applyFont="1" applyFill="1" applyBorder="1" applyAlignment="1">
      <alignment horizontal="center" vertical="top"/>
    </xf>
    <xf numFmtId="0" fontId="7" fillId="4" borderId="4" xfId="64" applyFont="1" applyFill="1" applyBorder="1" applyAlignment="1">
      <alignment horizontal="center" vertical="top"/>
    </xf>
    <xf numFmtId="0" fontId="7" fillId="4" borderId="4" xfId="64" applyFont="1" applyFill="1" applyBorder="1" applyAlignment="1">
      <alignment horizontal="center" vertical="top"/>
    </xf>
    <xf numFmtId="0" fontId="7" fillId="4" borderId="1" xfId="64" applyFont="1" applyFill="1" applyBorder="1" applyAlignment="1">
      <alignment horizontal="center" vertical="top"/>
    </xf>
    <xf numFmtId="0" fontId="10" fillId="0" borderId="28" xfId="64" applyFont="1" applyBorder="1" applyAlignment="1">
      <alignment vertical="top" wrapText="1"/>
    </xf>
    <xf numFmtId="0" fontId="10" fillId="0" borderId="56" xfId="64" applyFont="1" applyBorder="1" applyAlignment="1">
      <alignment vertical="top" wrapText="1"/>
    </xf>
    <xf numFmtId="0" fontId="10" fillId="0" borderId="56" xfId="64" applyFont="1" applyBorder="1" applyAlignment="1">
      <alignment horizontal="center" vertical="top" wrapText="1"/>
    </xf>
    <xf numFmtId="0" fontId="10" fillId="0" borderId="59" xfId="64" applyFont="1" applyBorder="1" applyAlignment="1">
      <alignment vertical="top" wrapText="1"/>
    </xf>
    <xf numFmtId="49" fontId="10" fillId="0" borderId="53" xfId="64" applyNumberFormat="1" applyFont="1" applyBorder="1" applyAlignment="1">
      <alignment horizontal="center" vertical="top"/>
    </xf>
    <xf numFmtId="0" fontId="10" fillId="0" borderId="53" xfId="64" applyFont="1" applyBorder="1" applyAlignment="1">
      <alignment vertical="top" wrapText="1"/>
    </xf>
    <xf numFmtId="0" fontId="10" fillId="0" borderId="208" xfId="64" applyFont="1" applyBorder="1" applyAlignment="1">
      <alignment vertical="top" wrapText="1"/>
    </xf>
    <xf numFmtId="0" fontId="10" fillId="0" borderId="208" xfId="64" applyFont="1" applyBorder="1" applyAlignment="1">
      <alignment horizontal="center" vertical="top" wrapText="1"/>
    </xf>
    <xf numFmtId="0" fontId="10" fillId="0" borderId="50" xfId="64" applyFont="1" applyBorder="1" applyAlignment="1">
      <alignment vertical="top" wrapText="1"/>
    </xf>
    <xf numFmtId="0" fontId="10" fillId="0" borderId="53" xfId="64" applyFont="1" applyBorder="1" applyAlignment="1">
      <alignment horizontal="center" vertical="top"/>
    </xf>
    <xf numFmtId="49" fontId="10" fillId="0" borderId="28" xfId="64" applyNumberFormat="1" applyFont="1" applyBorder="1" applyAlignment="1">
      <alignment horizontal="center" vertical="top"/>
    </xf>
    <xf numFmtId="0" fontId="10" fillId="0" borderId="53" xfId="64" quotePrefix="1" applyFont="1" applyBorder="1" applyAlignment="1">
      <alignment horizontal="center" vertical="top"/>
    </xf>
    <xf numFmtId="0" fontId="10" fillId="0" borderId="53" xfId="64" applyFont="1" applyBorder="1" applyAlignment="1">
      <alignment vertical="top"/>
    </xf>
    <xf numFmtId="56" fontId="10" fillId="0" borderId="53" xfId="64" quotePrefix="1" applyNumberFormat="1" applyFont="1" applyBorder="1" applyAlignment="1">
      <alignment horizontal="center" vertical="top"/>
    </xf>
    <xf numFmtId="0" fontId="10" fillId="0" borderId="28" xfId="64" quotePrefix="1" applyFont="1" applyBorder="1" applyAlignment="1">
      <alignment horizontal="center" vertical="top"/>
    </xf>
    <xf numFmtId="49" fontId="10" fillId="0" borderId="53" xfId="64" applyNumberFormat="1" applyFont="1" applyBorder="1" applyAlignment="1">
      <alignment vertical="top" wrapText="1"/>
    </xf>
    <xf numFmtId="0" fontId="10" fillId="0" borderId="51" xfId="64" applyFont="1" applyBorder="1" applyAlignment="1">
      <alignment vertical="top" wrapText="1"/>
    </xf>
    <xf numFmtId="0" fontId="10" fillId="0" borderId="154" xfId="64" applyFont="1" applyBorder="1" applyAlignment="1">
      <alignment vertical="top" wrapText="1"/>
    </xf>
    <xf numFmtId="0" fontId="10" fillId="0" borderId="55" xfId="64" applyFont="1" applyBorder="1" applyAlignment="1">
      <alignment vertical="top" wrapText="1"/>
    </xf>
    <xf numFmtId="0" fontId="10" fillId="0" borderId="51" xfId="64" applyFont="1" applyBorder="1" applyAlignment="1">
      <alignment horizontal="center" vertical="top" wrapText="1"/>
    </xf>
    <xf numFmtId="0" fontId="10" fillId="0" borderId="154" xfId="64" applyFont="1" applyBorder="1" applyAlignment="1">
      <alignment vertical="top"/>
    </xf>
    <xf numFmtId="0" fontId="10" fillId="0" borderId="55" xfId="64" applyFont="1" applyBorder="1" applyAlignment="1">
      <alignment horizontal="center" vertical="top"/>
    </xf>
    <xf numFmtId="0" fontId="10" fillId="0" borderId="0" xfId="64" applyFont="1" applyAlignment="1">
      <alignment horizontal="center" vertical="top"/>
    </xf>
    <xf numFmtId="0" fontId="7" fillId="0" borderId="0" xfId="65" applyFont="1" applyAlignment="1">
      <alignment vertical="top"/>
    </xf>
    <xf numFmtId="0" fontId="7" fillId="0" borderId="0" xfId="65" applyFont="1" applyAlignment="1">
      <alignment horizontal="center" vertical="top"/>
    </xf>
    <xf numFmtId="0" fontId="26" fillId="0" borderId="0" xfId="65" applyFont="1" applyAlignment="1">
      <alignment vertical="top"/>
    </xf>
    <xf numFmtId="0" fontId="26" fillId="0" borderId="0" xfId="65" applyFont="1" applyAlignment="1">
      <alignment horizontal="center" vertical="top"/>
    </xf>
    <xf numFmtId="0" fontId="26" fillId="0" borderId="0" xfId="65" applyFont="1" applyAlignment="1">
      <alignment horizontal="right" vertical="top"/>
    </xf>
    <xf numFmtId="0" fontId="10" fillId="0" borderId="0" xfId="65" applyFont="1" applyAlignment="1">
      <alignment vertical="top"/>
    </xf>
    <xf numFmtId="0" fontId="7" fillId="4" borderId="2" xfId="65" applyFont="1" applyFill="1" applyBorder="1" applyAlignment="1">
      <alignment horizontal="center" vertical="top"/>
    </xf>
    <xf numFmtId="0" fontId="7" fillId="4" borderId="4" xfId="65" applyFont="1" applyFill="1" applyBorder="1" applyAlignment="1">
      <alignment horizontal="center" vertical="top"/>
    </xf>
    <xf numFmtId="0" fontId="7" fillId="4" borderId="4" xfId="65" applyFont="1" applyFill="1" applyBorder="1" applyAlignment="1">
      <alignment horizontal="center" vertical="top"/>
    </xf>
    <xf numFmtId="0" fontId="7" fillId="4" borderId="1" xfId="65" applyFont="1" applyFill="1" applyBorder="1" applyAlignment="1">
      <alignment horizontal="center" vertical="top"/>
    </xf>
    <xf numFmtId="0" fontId="10" fillId="0" borderId="28" xfId="65" applyFont="1" applyBorder="1" applyAlignment="1">
      <alignment vertical="top" wrapText="1"/>
    </xf>
    <xf numFmtId="0" fontId="10" fillId="0" borderId="56" xfId="65" applyFont="1" applyBorder="1" applyAlignment="1">
      <alignment vertical="top" wrapText="1"/>
    </xf>
    <xf numFmtId="0" fontId="10" fillId="0" borderId="56" xfId="65" applyFont="1" applyBorder="1" applyAlignment="1">
      <alignment horizontal="center" vertical="top" wrapText="1"/>
    </xf>
    <xf numFmtId="0" fontId="10" fillId="0" borderId="59" xfId="65" applyFont="1" applyBorder="1" applyAlignment="1">
      <alignment vertical="top" wrapText="1"/>
    </xf>
    <xf numFmtId="49" fontId="10" fillId="0" borderId="53" xfId="65" applyNumberFormat="1" applyFont="1" applyBorder="1" applyAlignment="1">
      <alignment horizontal="center" vertical="top"/>
    </xf>
    <xf numFmtId="0" fontId="10" fillId="0" borderId="53" xfId="65" applyFont="1" applyBorder="1" applyAlignment="1">
      <alignment vertical="top" wrapText="1"/>
    </xf>
    <xf numFmtId="0" fontId="10" fillId="0" borderId="208" xfId="65" applyFont="1" applyBorder="1" applyAlignment="1">
      <alignment vertical="top" wrapText="1"/>
    </xf>
    <xf numFmtId="0" fontId="10" fillId="0" borderId="208" xfId="65" applyFont="1" applyBorder="1" applyAlignment="1">
      <alignment horizontal="center" vertical="top" wrapText="1"/>
    </xf>
    <xf numFmtId="0" fontId="10" fillId="0" borderId="50" xfId="65" applyFont="1" applyBorder="1" applyAlignment="1">
      <alignment vertical="top" wrapText="1"/>
    </xf>
    <xf numFmtId="49" fontId="10" fillId="0" borderId="53" xfId="65" quotePrefix="1" applyNumberFormat="1" applyFont="1" applyBorder="1" applyAlignment="1">
      <alignment horizontal="center" vertical="top"/>
    </xf>
    <xf numFmtId="0" fontId="10" fillId="0" borderId="50" xfId="65" applyFont="1" applyBorder="1" applyAlignment="1">
      <alignment vertical="top" wrapText="1"/>
    </xf>
    <xf numFmtId="0" fontId="10" fillId="0" borderId="53" xfId="65" quotePrefix="1" applyFont="1" applyBorder="1" applyAlignment="1">
      <alignment horizontal="center" vertical="top"/>
    </xf>
    <xf numFmtId="0" fontId="10" fillId="0" borderId="55" xfId="65" quotePrefix="1" applyFont="1" applyBorder="1" applyAlignment="1">
      <alignment horizontal="center" vertical="top"/>
    </xf>
    <xf numFmtId="49" fontId="10" fillId="0" borderId="28" xfId="65" applyNumberFormat="1" applyFont="1" applyBorder="1" applyAlignment="1">
      <alignment horizontal="center" vertical="top"/>
    </xf>
    <xf numFmtId="0" fontId="10" fillId="0" borderId="53" xfId="65" applyFont="1" applyBorder="1" applyAlignment="1">
      <alignment horizontal="left" vertical="top" wrapText="1" indent="1"/>
    </xf>
    <xf numFmtId="0" fontId="10" fillId="0" borderId="55" xfId="65" applyFont="1" applyBorder="1" applyAlignment="1">
      <alignment horizontal="left" vertical="top" wrapText="1" indent="1"/>
    </xf>
    <xf numFmtId="0" fontId="10" fillId="0" borderId="53" xfId="65" applyFont="1" applyBorder="1" applyAlignment="1">
      <alignment vertical="top" wrapText="1"/>
    </xf>
    <xf numFmtId="0" fontId="10" fillId="0" borderId="55" xfId="65" applyFont="1" applyBorder="1" applyAlignment="1">
      <alignment vertical="top" wrapText="1"/>
    </xf>
    <xf numFmtId="0" fontId="10" fillId="0" borderId="55" xfId="65" applyFont="1" applyBorder="1" applyAlignment="1">
      <alignment vertical="top" wrapText="1"/>
    </xf>
    <xf numFmtId="0" fontId="10" fillId="0" borderId="51" xfId="65" applyFont="1" applyBorder="1" applyAlignment="1">
      <alignment horizontal="center" vertical="top" wrapText="1"/>
    </xf>
    <xf numFmtId="0" fontId="10" fillId="0" borderId="154" xfId="65" applyFont="1" applyBorder="1" applyAlignment="1">
      <alignment vertical="top" wrapText="1"/>
    </xf>
    <xf numFmtId="0" fontId="10" fillId="0" borderId="208" xfId="65" applyFont="1" applyBorder="1" applyAlignment="1">
      <alignment vertical="top" wrapText="1"/>
    </xf>
    <xf numFmtId="0" fontId="10" fillId="0" borderId="208" xfId="65" applyFont="1" applyBorder="1" applyAlignment="1">
      <alignment horizontal="left" vertical="top" wrapText="1" indent="1"/>
    </xf>
    <xf numFmtId="0" fontId="10" fillId="0" borderId="28" xfId="65" quotePrefix="1" applyFont="1" applyBorder="1" applyAlignment="1">
      <alignment horizontal="center" vertical="top"/>
    </xf>
    <xf numFmtId="49" fontId="10" fillId="0" borderId="53" xfId="65" quotePrefix="1" applyNumberFormat="1" applyFont="1" applyBorder="1" applyAlignment="1">
      <alignment horizontal="center" vertical="top" wrapText="1"/>
    </xf>
    <xf numFmtId="0" fontId="10" fillId="0" borderId="51" xfId="65" applyFont="1" applyBorder="1" applyAlignment="1">
      <alignment vertical="top" wrapText="1"/>
    </xf>
    <xf numFmtId="0" fontId="10" fillId="0" borderId="154" xfId="65" applyFont="1" applyBorder="1" applyAlignment="1">
      <alignment vertical="top"/>
    </xf>
    <xf numFmtId="0" fontId="10" fillId="0" borderId="55" xfId="65" applyFont="1" applyBorder="1" applyAlignment="1">
      <alignment horizontal="center" vertical="top"/>
    </xf>
    <xf numFmtId="0" fontId="10" fillId="0" borderId="0" xfId="65" applyFont="1" applyAlignment="1">
      <alignment horizontal="center" vertical="top"/>
    </xf>
    <xf numFmtId="0" fontId="7" fillId="0" borderId="0" xfId="66" applyFont="1" applyAlignment="1">
      <alignment vertical="top"/>
    </xf>
    <xf numFmtId="0" fontId="7" fillId="0" borderId="0" xfId="66" applyFont="1" applyAlignment="1">
      <alignment horizontal="center" vertical="top"/>
    </xf>
    <xf numFmtId="0" fontId="26" fillId="0" borderId="0" xfId="66" applyFont="1" applyAlignment="1">
      <alignment vertical="top"/>
    </xf>
    <xf numFmtId="0" fontId="26" fillId="0" borderId="0" xfId="66" applyFont="1" applyAlignment="1">
      <alignment horizontal="center" vertical="top"/>
    </xf>
    <xf numFmtId="0" fontId="26" fillId="0" borderId="0" xfId="66" applyFont="1" applyAlignment="1">
      <alignment horizontal="right" vertical="top"/>
    </xf>
    <xf numFmtId="0" fontId="10" fillId="0" borderId="0" xfId="66" applyFont="1" applyAlignment="1">
      <alignment vertical="top"/>
    </xf>
    <xf numFmtId="0" fontId="7" fillId="4" borderId="2" xfId="66" applyFont="1" applyFill="1" applyBorder="1" applyAlignment="1">
      <alignment horizontal="center" vertical="top"/>
    </xf>
    <xf numFmtId="0" fontId="7" fillId="4" borderId="3" xfId="66" applyFont="1" applyFill="1" applyBorder="1" applyAlignment="1">
      <alignment horizontal="center" vertical="top"/>
    </xf>
    <xf numFmtId="0" fontId="7" fillId="4" borderId="4" xfId="66" applyFont="1" applyFill="1" applyBorder="1" applyAlignment="1">
      <alignment horizontal="center" vertical="top"/>
    </xf>
    <xf numFmtId="0" fontId="7" fillId="4" borderId="4" xfId="66" applyFont="1" applyFill="1" applyBorder="1" applyAlignment="1">
      <alignment horizontal="center" vertical="top"/>
    </xf>
    <xf numFmtId="0" fontId="7" fillId="4" borderId="1" xfId="66" applyFont="1" applyFill="1" applyBorder="1" applyAlignment="1">
      <alignment horizontal="center" vertical="top"/>
    </xf>
    <xf numFmtId="0" fontId="10" fillId="0" borderId="28" xfId="66" applyFont="1" applyBorder="1" applyAlignment="1">
      <alignment vertical="top" wrapText="1"/>
    </xf>
    <xf numFmtId="0" fontId="10" fillId="0" borderId="56" xfId="66" applyFont="1" applyBorder="1" applyAlignment="1">
      <alignment vertical="top" wrapText="1"/>
    </xf>
    <xf numFmtId="0" fontId="10" fillId="0" borderId="56" xfId="66" applyFont="1" applyBorder="1" applyAlignment="1">
      <alignment horizontal="center" vertical="top" wrapText="1"/>
    </xf>
    <xf numFmtId="0" fontId="10" fillId="0" borderId="59" xfId="66" applyFont="1" applyBorder="1" applyAlignment="1">
      <alignment vertical="top" wrapText="1"/>
    </xf>
    <xf numFmtId="49" fontId="10" fillId="0" borderId="28" xfId="66" applyNumberFormat="1" applyFont="1" applyBorder="1" applyAlignment="1">
      <alignment horizontal="center" vertical="top"/>
    </xf>
    <xf numFmtId="0" fontId="10" fillId="0" borderId="53" xfId="66" applyFont="1" applyBorder="1" applyAlignment="1">
      <alignment vertical="top" wrapText="1"/>
    </xf>
    <xf numFmtId="0" fontId="10" fillId="0" borderId="208" xfId="66" applyFont="1" applyBorder="1" applyAlignment="1">
      <alignment vertical="top" wrapText="1"/>
    </xf>
    <xf numFmtId="0" fontId="10" fillId="0" borderId="208" xfId="66" applyFont="1" applyBorder="1" applyAlignment="1">
      <alignment horizontal="center" vertical="top" wrapText="1"/>
    </xf>
    <xf numFmtId="0" fontId="10" fillId="0" borderId="50" xfId="66" applyFont="1" applyBorder="1" applyAlignment="1">
      <alignment vertical="top" wrapText="1"/>
    </xf>
    <xf numFmtId="49" fontId="10" fillId="0" borderId="53" xfId="66" quotePrefix="1" applyNumberFormat="1" applyFont="1" applyBorder="1" applyAlignment="1">
      <alignment horizontal="center" vertical="top"/>
    </xf>
    <xf numFmtId="0" fontId="10" fillId="0" borderId="50" xfId="66" applyFont="1" applyBorder="1" applyAlignment="1">
      <alignment vertical="top" wrapText="1"/>
    </xf>
    <xf numFmtId="0" fontId="10" fillId="0" borderId="53" xfId="66" quotePrefix="1" applyFont="1" applyBorder="1" applyAlignment="1">
      <alignment horizontal="center" vertical="top"/>
    </xf>
    <xf numFmtId="0" fontId="10" fillId="0" borderId="55" xfId="66" quotePrefix="1" applyFont="1" applyBorder="1" applyAlignment="1">
      <alignment horizontal="center" vertical="top"/>
    </xf>
    <xf numFmtId="49" fontId="10" fillId="0" borderId="53" xfId="66" applyNumberFormat="1" applyFont="1" applyBorder="1" applyAlignment="1">
      <alignment horizontal="center" vertical="top"/>
    </xf>
    <xf numFmtId="0" fontId="10" fillId="0" borderId="53" xfId="66" applyFont="1" applyBorder="1" applyAlignment="1">
      <alignment horizontal="left" vertical="top" wrapText="1" indent="1"/>
    </xf>
    <xf numFmtId="0" fontId="10" fillId="0" borderId="55" xfId="66" applyFont="1" applyBorder="1" applyAlignment="1">
      <alignment horizontal="left" vertical="top" wrapText="1" indent="1"/>
    </xf>
    <xf numFmtId="0" fontId="10" fillId="0" borderId="53" xfId="66" applyFont="1" applyBorder="1" applyAlignment="1">
      <alignment vertical="top" wrapText="1"/>
    </xf>
    <xf numFmtId="0" fontId="10" fillId="0" borderId="55" xfId="66" applyFont="1" applyBorder="1" applyAlignment="1">
      <alignment vertical="top" wrapText="1"/>
    </xf>
    <xf numFmtId="0" fontId="10" fillId="0" borderId="55" xfId="66" applyFont="1" applyBorder="1" applyAlignment="1">
      <alignment vertical="top" wrapText="1"/>
    </xf>
    <xf numFmtId="0" fontId="10" fillId="0" borderId="51" xfId="66" applyFont="1" applyBorder="1" applyAlignment="1">
      <alignment horizontal="center" vertical="top" wrapText="1"/>
    </xf>
    <xf numFmtId="0" fontId="10" fillId="0" borderId="154" xfId="66" applyFont="1" applyBorder="1" applyAlignment="1">
      <alignment vertical="top" wrapText="1"/>
    </xf>
    <xf numFmtId="0" fontId="10" fillId="0" borderId="208" xfId="66" applyFont="1" applyBorder="1" applyAlignment="1">
      <alignment vertical="top" wrapText="1"/>
    </xf>
    <xf numFmtId="0" fontId="10" fillId="0" borderId="208" xfId="66" applyFont="1" applyBorder="1" applyAlignment="1">
      <alignment horizontal="left" vertical="top" wrapText="1" indent="1"/>
    </xf>
    <xf numFmtId="0" fontId="10" fillId="0" borderId="28" xfId="66" quotePrefix="1" applyFont="1" applyBorder="1" applyAlignment="1">
      <alignment horizontal="center" vertical="top"/>
    </xf>
    <xf numFmtId="49" fontId="10" fillId="0" borderId="53" xfId="66" applyNumberFormat="1" applyFont="1" applyBorder="1" applyAlignment="1">
      <alignment horizontal="center" vertical="top" wrapText="1"/>
    </xf>
    <xf numFmtId="49" fontId="10" fillId="0" borderId="53" xfId="66" applyNumberFormat="1" applyFont="1" applyBorder="1" applyAlignment="1">
      <alignment vertical="top" wrapText="1"/>
    </xf>
    <xf numFmtId="0" fontId="10" fillId="0" borderId="154" xfId="66" applyFont="1" applyBorder="1" applyAlignment="1">
      <alignment vertical="top"/>
    </xf>
    <xf numFmtId="0" fontId="10" fillId="0" borderId="55" xfId="66" applyFont="1" applyBorder="1" applyAlignment="1">
      <alignment horizontal="center" vertical="top"/>
    </xf>
    <xf numFmtId="0" fontId="10" fillId="0" borderId="59" xfId="66" applyFont="1" applyBorder="1" applyAlignment="1">
      <alignment vertical="top" wrapText="1"/>
    </xf>
    <xf numFmtId="0" fontId="10" fillId="0" borderId="154" xfId="66" applyFont="1" applyBorder="1" applyAlignment="1">
      <alignment vertical="top" wrapText="1"/>
    </xf>
    <xf numFmtId="49" fontId="10" fillId="0" borderId="55" xfId="66" applyNumberFormat="1" applyFont="1" applyBorder="1" applyAlignment="1">
      <alignment vertical="top" wrapText="1"/>
    </xf>
    <xf numFmtId="0" fontId="10" fillId="0" borderId="59" xfId="66" applyFont="1" applyBorder="1" applyAlignment="1">
      <alignment horizontal="center" vertical="top" wrapText="1"/>
    </xf>
    <xf numFmtId="0" fontId="10" fillId="0" borderId="50" xfId="66" applyFont="1" applyBorder="1" applyAlignment="1">
      <alignment horizontal="center" vertical="top" wrapText="1"/>
    </xf>
    <xf numFmtId="0" fontId="10" fillId="0" borderId="56" xfId="66" applyFont="1" applyBorder="1" applyAlignment="1">
      <alignment horizontal="left" vertical="top" wrapText="1"/>
    </xf>
    <xf numFmtId="0" fontId="10" fillId="0" borderId="45" xfId="66" applyFont="1" applyBorder="1" applyAlignment="1">
      <alignment horizontal="left" vertical="top" wrapText="1"/>
    </xf>
    <xf numFmtId="0" fontId="10" fillId="0" borderId="59" xfId="66" applyFont="1" applyBorder="1" applyAlignment="1">
      <alignment horizontal="left" vertical="top" wrapText="1"/>
    </xf>
    <xf numFmtId="0" fontId="10" fillId="0" borderId="208" xfId="66" applyFont="1" applyBorder="1" applyAlignment="1">
      <alignment horizontal="left" vertical="top" wrapText="1"/>
    </xf>
    <xf numFmtId="0" fontId="10" fillId="0" borderId="0" xfId="66" applyFont="1" applyAlignment="1">
      <alignment horizontal="left" vertical="top" wrapText="1"/>
    </xf>
    <xf numFmtId="0" fontId="10" fillId="0" borderId="50" xfId="66" applyFont="1" applyBorder="1" applyAlignment="1">
      <alignment horizontal="left" vertical="top" wrapText="1"/>
    </xf>
    <xf numFmtId="0" fontId="10" fillId="0" borderId="51" xfId="66" applyFont="1" applyBorder="1" applyAlignment="1">
      <alignment horizontal="left" vertical="top" wrapText="1"/>
    </xf>
    <xf numFmtId="0" fontId="10" fillId="0" borderId="47" xfId="66" applyFont="1" applyBorder="1" applyAlignment="1">
      <alignment horizontal="left" vertical="top" wrapText="1"/>
    </xf>
    <xf numFmtId="0" fontId="10" fillId="0" borderId="154" xfId="66" applyFont="1" applyBorder="1" applyAlignment="1">
      <alignment horizontal="left" vertical="top" wrapText="1"/>
    </xf>
    <xf numFmtId="0" fontId="10" fillId="0" borderId="0" xfId="66" applyFont="1" applyAlignment="1">
      <alignment horizontal="center" vertical="top"/>
    </xf>
  </cellXfs>
  <cellStyles count="67">
    <cellStyle name="パーセント" xfId="3" builtinId="5"/>
    <cellStyle name="パーセント 2" xfId="18" xr:uid="{00000000-0005-0000-0000-000001000000}"/>
    <cellStyle name="パーセント 3" xfId="44" xr:uid="{00000000-0005-0000-0000-000002000000}"/>
    <cellStyle name="パーセント 4" xfId="52" xr:uid="{56C4D02B-5450-48E2-A13A-0E90B4985F26}"/>
    <cellStyle name="ハイパーリンク" xfId="34" builtinId="8"/>
    <cellStyle name="桁区切り" xfId="2" builtinId="6"/>
    <cellStyle name="桁区切り 10 2 2" xfId="21" xr:uid="{00000000-0005-0000-0000-000005000000}"/>
    <cellStyle name="桁区切り 2" xfId="1" xr:uid="{00000000-0005-0000-0000-000006000000}"/>
    <cellStyle name="桁区切り 2 2" xfId="22" xr:uid="{00000000-0005-0000-0000-000007000000}"/>
    <cellStyle name="桁区切り 3" xfId="6" xr:uid="{00000000-0005-0000-0000-000008000000}"/>
    <cellStyle name="桁区切り 4" xfId="8" xr:uid="{00000000-0005-0000-0000-000009000000}"/>
    <cellStyle name="桁区切り 4 2" xfId="17" xr:uid="{00000000-0005-0000-0000-00000A000000}"/>
    <cellStyle name="桁区切り 5" xfId="11" xr:uid="{00000000-0005-0000-0000-00000B000000}"/>
    <cellStyle name="桁区切り 6" xfId="14" xr:uid="{00000000-0005-0000-0000-00000C000000}"/>
    <cellStyle name="桁区切り 7" xfId="20" xr:uid="{00000000-0005-0000-0000-00000D000000}"/>
    <cellStyle name="桁区切り 8" xfId="42" xr:uid="{00000000-0005-0000-0000-00000E000000}"/>
    <cellStyle name="桁区切り 9" xfId="50" xr:uid="{A38B3017-D7BB-4B6D-A167-9E04175C72DE}"/>
    <cellStyle name="標準" xfId="0" builtinId="0"/>
    <cellStyle name="標準 10" xfId="23" xr:uid="{00000000-0005-0000-0000-000010000000}"/>
    <cellStyle name="標準 11" xfId="25" xr:uid="{00000000-0005-0000-0000-000011000000}"/>
    <cellStyle name="標準 12" xfId="26" xr:uid="{00000000-0005-0000-0000-000012000000}"/>
    <cellStyle name="標準 13" xfId="27" xr:uid="{00000000-0005-0000-0000-000013000000}"/>
    <cellStyle name="標準 14" xfId="28" xr:uid="{00000000-0005-0000-0000-000014000000}"/>
    <cellStyle name="標準 15" xfId="29" xr:uid="{00000000-0005-0000-0000-000015000000}"/>
    <cellStyle name="標準 16" xfId="30" xr:uid="{00000000-0005-0000-0000-000016000000}"/>
    <cellStyle name="標準 17" xfId="31" xr:uid="{00000000-0005-0000-0000-000017000000}"/>
    <cellStyle name="標準 18" xfId="32" xr:uid="{00000000-0005-0000-0000-000018000000}"/>
    <cellStyle name="標準 19" xfId="33" xr:uid="{00000000-0005-0000-0000-000019000000}"/>
    <cellStyle name="標準 2" xfId="4" xr:uid="{00000000-0005-0000-0000-00001A000000}"/>
    <cellStyle name="標準 2 2" xfId="13" xr:uid="{00000000-0005-0000-0000-00001B000000}"/>
    <cellStyle name="標準 20" xfId="35" xr:uid="{00000000-0005-0000-0000-00001C000000}"/>
    <cellStyle name="標準 21" xfId="36" xr:uid="{00000000-0005-0000-0000-00001D000000}"/>
    <cellStyle name="標準 22" xfId="37" xr:uid="{00000000-0005-0000-0000-00001E000000}"/>
    <cellStyle name="標準 23" xfId="38" xr:uid="{00000000-0005-0000-0000-00001F000000}"/>
    <cellStyle name="標準 24" xfId="39" xr:uid="{00000000-0005-0000-0000-000020000000}"/>
    <cellStyle name="標準 25" xfId="40" xr:uid="{00000000-0005-0000-0000-000021000000}"/>
    <cellStyle name="標準 26" xfId="41" xr:uid="{00000000-0005-0000-0000-000022000000}"/>
    <cellStyle name="標準 27" xfId="43" xr:uid="{00000000-0005-0000-0000-000023000000}"/>
    <cellStyle name="標準 28" xfId="45" xr:uid="{00000000-0005-0000-0000-000024000000}"/>
    <cellStyle name="標準 29" xfId="46" xr:uid="{0A876A80-56A5-4394-9119-73F91AB7B3CF}"/>
    <cellStyle name="標準 3" xfId="5" xr:uid="{00000000-0005-0000-0000-000025000000}"/>
    <cellStyle name="標準 30" xfId="47" xr:uid="{7BE46EF0-27E3-49F4-864C-2D29B424FD5A}"/>
    <cellStyle name="標準 31" xfId="48" xr:uid="{BCC5889B-CF10-4F48-B1DB-ED6337113164}"/>
    <cellStyle name="標準 32" xfId="49" xr:uid="{CDA7F7F5-2722-4B30-8E3E-1618C6AC533E}"/>
    <cellStyle name="標準 33" xfId="51" xr:uid="{FE7CF154-7A50-4DD1-B91E-F2A827245370}"/>
    <cellStyle name="標準 34" xfId="53" xr:uid="{6C5ED53A-43FD-4EA1-AD9D-389701D45179}"/>
    <cellStyle name="標準 35" xfId="54" xr:uid="{1E2A6B00-4E82-4661-8384-EAE1E18FA7A7}"/>
    <cellStyle name="標準 36" xfId="55" xr:uid="{0142A7EC-D17A-4619-B598-3C5CD6D193FD}"/>
    <cellStyle name="標準 37" xfId="56" xr:uid="{F8546EEF-DD9E-43D0-A13B-2C3F2B944294}"/>
    <cellStyle name="標準 38" xfId="57" xr:uid="{92ECF67A-0FB1-494B-BC7F-826135E7DE92}"/>
    <cellStyle name="標準 39" xfId="58" xr:uid="{F7194CB7-170B-4072-90E1-C8FB47E9A003}"/>
    <cellStyle name="標準 4" xfId="7" xr:uid="{00000000-0005-0000-0000-000026000000}"/>
    <cellStyle name="標準 40" xfId="59" xr:uid="{6608F98D-B6FE-4DC5-A474-8624F9C1FABA}"/>
    <cellStyle name="標準 41" xfId="60" xr:uid="{1A679DD3-1FA4-4403-BA9D-3967CDD9D5EF}"/>
    <cellStyle name="標準 42" xfId="61" xr:uid="{E404D120-2D1E-44E8-A0EA-54FC35F364F2}"/>
    <cellStyle name="標準 43" xfId="62" xr:uid="{8D73A61E-12D3-4D4F-A07D-48E3D44D0367}"/>
    <cellStyle name="標準 44" xfId="63" xr:uid="{7521CBCC-C16F-4D1C-8BEA-27A6E78B62C4}"/>
    <cellStyle name="標準 45" xfId="64" xr:uid="{879C7BE3-9DE2-4533-8106-D392CBCEFB44}"/>
    <cellStyle name="標準 46" xfId="65" xr:uid="{35CCB33D-B149-4059-AEE4-42FA797A2D1C}"/>
    <cellStyle name="標準 47" xfId="66" xr:uid="{780FAE26-6C33-4BA3-8A0A-5B62DC34F200}"/>
    <cellStyle name="標準 5" xfId="9" xr:uid="{00000000-0005-0000-0000-000027000000}"/>
    <cellStyle name="標準 6" xfId="10" xr:uid="{00000000-0005-0000-0000-000028000000}"/>
    <cellStyle name="標準 7" xfId="12" xr:uid="{00000000-0005-0000-0000-000029000000}"/>
    <cellStyle name="標準 8" xfId="15" xr:uid="{00000000-0005-0000-0000-00002A000000}"/>
    <cellStyle name="標準 9" xfId="19" xr:uid="{00000000-0005-0000-0000-00002B000000}"/>
    <cellStyle name="標準_20_12_財務状況（用水供給）" xfId="16" xr:uid="{00000000-0005-0000-0000-00002C000000}"/>
    <cellStyle name="標準_上水契約率調べ" xfId="24" xr:uid="{00000000-0005-0000-0000-00002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externalLink" Target="externalLinks/externalLink3.xml"/><Relationship Id="rId55"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externalLink" Target="externalLinks/externalLink6.xml"/><Relationship Id="rId58" Type="http://schemas.openxmlformats.org/officeDocument/2006/relationships/sharedStrings" Target="sharedStrings.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1.xml"/><Relationship Id="rId56" Type="http://schemas.openxmlformats.org/officeDocument/2006/relationships/connections" Target="connections.xml"/><Relationship Id="rId8" Type="http://schemas.openxmlformats.org/officeDocument/2006/relationships/worksheet" Target="worksheets/sheet8.xml"/><Relationship Id="rId51" Type="http://schemas.openxmlformats.org/officeDocument/2006/relationships/externalLink" Target="externalLinks/externalLink4.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7.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2.xml"/><Relationship Id="rId57" Type="http://schemas.openxmlformats.org/officeDocument/2006/relationships/styles" Target="style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externalLink" Target="externalLinks/externalLink5.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7.xml"/></Relationships>
</file>

<file path=xl/charts/_rels/chart7.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8.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4375064373065467E-2"/>
          <c:y val="0.10596026490066225"/>
          <c:w val="0.83906314015437333"/>
          <c:h val="0.69867549668874174"/>
        </c:manualLayout>
      </c:layout>
      <c:lineChart>
        <c:grouping val="standard"/>
        <c:varyColors val="0"/>
        <c:ser>
          <c:idx val="0"/>
          <c:order val="0"/>
          <c:tx>
            <c:strRef>
              <c:f>[3]数・人口!$H$2</c:f>
              <c:strCache>
                <c:ptCount val="1"/>
                <c:pt idx="0">
                  <c:v>県内総人口</c:v>
                </c:pt>
              </c:strCache>
            </c:strRef>
          </c:tx>
          <c:spPr>
            <a:ln w="12700">
              <a:solidFill>
                <a:srgbClr val="00CCFF"/>
              </a:solidFill>
              <a:prstDash val="solid"/>
            </a:ln>
          </c:spPr>
          <c:marker>
            <c:symbol val="circle"/>
            <c:size val="4"/>
            <c:spPr>
              <a:solidFill>
                <a:srgbClr val="FFFFFF"/>
              </a:solidFill>
              <a:ln>
                <a:solidFill>
                  <a:srgbClr val="000000"/>
                </a:solidFill>
                <a:prstDash val="solid"/>
              </a:ln>
            </c:spPr>
          </c:marker>
          <c:cat>
            <c:strRef>
              <c:f>[3]数・人口!$G$3:$G$52</c:f>
              <c:strCache>
                <c:ptCount val="50"/>
                <c:pt idx="0">
                  <c:v>25934</c:v>
                </c:pt>
                <c:pt idx="1">
                  <c:v>26299</c:v>
                </c:pt>
                <c:pt idx="2">
                  <c:v>26665</c:v>
                </c:pt>
                <c:pt idx="3">
                  <c:v>27030</c:v>
                </c:pt>
                <c:pt idx="4">
                  <c:v>27395</c:v>
                </c:pt>
                <c:pt idx="5">
                  <c:v>27760</c:v>
                </c:pt>
                <c:pt idx="6">
                  <c:v>28126</c:v>
                </c:pt>
                <c:pt idx="7">
                  <c:v>28491</c:v>
                </c:pt>
                <c:pt idx="8">
                  <c:v>28856</c:v>
                </c:pt>
                <c:pt idx="9">
                  <c:v>29221</c:v>
                </c:pt>
                <c:pt idx="10">
                  <c:v>29587</c:v>
                </c:pt>
                <c:pt idx="11">
                  <c:v>29952</c:v>
                </c:pt>
                <c:pt idx="12">
                  <c:v>30317</c:v>
                </c:pt>
                <c:pt idx="13">
                  <c:v>30682</c:v>
                </c:pt>
                <c:pt idx="14">
                  <c:v>31048</c:v>
                </c:pt>
                <c:pt idx="15">
                  <c:v>31413</c:v>
                </c:pt>
                <c:pt idx="16">
                  <c:v>31778</c:v>
                </c:pt>
                <c:pt idx="17">
                  <c:v>32143</c:v>
                </c:pt>
                <c:pt idx="18">
                  <c:v>32509</c:v>
                </c:pt>
                <c:pt idx="19">
                  <c:v>32874</c:v>
                </c:pt>
                <c:pt idx="20">
                  <c:v>33239</c:v>
                </c:pt>
                <c:pt idx="21">
                  <c:v>33604</c:v>
                </c:pt>
                <c:pt idx="22">
                  <c:v>33970</c:v>
                </c:pt>
                <c:pt idx="23">
                  <c:v>34335</c:v>
                </c:pt>
                <c:pt idx="24">
                  <c:v>34700</c:v>
                </c:pt>
                <c:pt idx="25">
                  <c:v>35065</c:v>
                </c:pt>
                <c:pt idx="26">
                  <c:v>35431</c:v>
                </c:pt>
                <c:pt idx="27">
                  <c:v>35796</c:v>
                </c:pt>
                <c:pt idx="28">
                  <c:v>36161</c:v>
                </c:pt>
                <c:pt idx="29">
                  <c:v>36526</c:v>
                </c:pt>
                <c:pt idx="30">
                  <c:v>36892</c:v>
                </c:pt>
                <c:pt idx="31">
                  <c:v>H14</c:v>
                </c:pt>
                <c:pt idx="32">
                  <c:v>H15</c:v>
                </c:pt>
                <c:pt idx="33">
                  <c:v>H16</c:v>
                </c:pt>
                <c:pt idx="34">
                  <c:v>H17</c:v>
                </c:pt>
                <c:pt idx="35">
                  <c:v>H18</c:v>
                </c:pt>
                <c:pt idx="36">
                  <c:v>H19</c:v>
                </c:pt>
                <c:pt idx="37">
                  <c:v>H20</c:v>
                </c:pt>
                <c:pt idx="38">
                  <c:v>H21</c:v>
                </c:pt>
                <c:pt idx="39">
                  <c:v>H22</c:v>
                </c:pt>
                <c:pt idx="40">
                  <c:v>H23</c:v>
                </c:pt>
                <c:pt idx="41">
                  <c:v>H24</c:v>
                </c:pt>
                <c:pt idx="42">
                  <c:v>H25</c:v>
                </c:pt>
                <c:pt idx="43">
                  <c:v>H26</c:v>
                </c:pt>
                <c:pt idx="44">
                  <c:v>H27</c:v>
                </c:pt>
                <c:pt idx="45">
                  <c:v>H28</c:v>
                </c:pt>
                <c:pt idx="46">
                  <c:v>H29</c:v>
                </c:pt>
                <c:pt idx="47">
                  <c:v>H30</c:v>
                </c:pt>
                <c:pt idx="48">
                  <c:v>R元</c:v>
                </c:pt>
                <c:pt idx="49">
                  <c:v>R2</c:v>
                </c:pt>
              </c:strCache>
            </c:strRef>
          </c:cat>
          <c:val>
            <c:numRef>
              <c:f>[3]数・人口!$H$3:$H$52</c:f>
              <c:numCache>
                <c:formatCode>General</c:formatCode>
                <c:ptCount val="50"/>
                <c:pt idx="0">
                  <c:v>1965.1880000000001</c:v>
                </c:pt>
                <c:pt idx="1">
                  <c:v>1977.521</c:v>
                </c:pt>
                <c:pt idx="2">
                  <c:v>1992.155</c:v>
                </c:pt>
                <c:pt idx="3">
                  <c:v>2008.2550000000001</c:v>
                </c:pt>
                <c:pt idx="4">
                  <c:v>2018.125</c:v>
                </c:pt>
                <c:pt idx="5">
                  <c:v>2033.365</c:v>
                </c:pt>
                <c:pt idx="6">
                  <c:v>2048.5</c:v>
                </c:pt>
                <c:pt idx="7">
                  <c:v>2060.982</c:v>
                </c:pt>
                <c:pt idx="8">
                  <c:v>2072.3519999999999</c:v>
                </c:pt>
                <c:pt idx="9">
                  <c:v>2082.1039999999998</c:v>
                </c:pt>
                <c:pt idx="10">
                  <c:v>2090.6379999999999</c:v>
                </c:pt>
                <c:pt idx="11">
                  <c:v>2098.0279999999998</c:v>
                </c:pt>
                <c:pt idx="12">
                  <c:v>2107.027</c:v>
                </c:pt>
                <c:pt idx="13">
                  <c:v>2116.7890000000002</c:v>
                </c:pt>
                <c:pt idx="14">
                  <c:v>2133.866</c:v>
                </c:pt>
                <c:pt idx="15">
                  <c:v>2141.0990000000002</c:v>
                </c:pt>
                <c:pt idx="16">
                  <c:v>2144.7640000000001</c:v>
                </c:pt>
                <c:pt idx="17">
                  <c:v>2148.8139999999999</c:v>
                </c:pt>
                <c:pt idx="18">
                  <c:v>2153.377</c:v>
                </c:pt>
                <c:pt idx="19">
                  <c:v>2153.0430000000001</c:v>
                </c:pt>
                <c:pt idx="20">
                  <c:v>2162.328</c:v>
                </c:pt>
                <c:pt idx="21">
                  <c:v>2168.58</c:v>
                </c:pt>
                <c:pt idx="22">
                  <c:v>2175.6529999999998</c:v>
                </c:pt>
                <c:pt idx="23">
                  <c:v>2187.2849999999999</c:v>
                </c:pt>
                <c:pt idx="24">
                  <c:v>2189.866</c:v>
                </c:pt>
                <c:pt idx="25">
                  <c:v>2196.982</c:v>
                </c:pt>
                <c:pt idx="26">
                  <c:v>2205.7579999999998</c:v>
                </c:pt>
                <c:pt idx="27">
                  <c:v>2209.4369999999999</c:v>
                </c:pt>
                <c:pt idx="28">
                  <c:v>2215.163</c:v>
                </c:pt>
                <c:pt idx="29">
                  <c:v>2213</c:v>
                </c:pt>
                <c:pt idx="30">
                  <c:v>2209</c:v>
                </c:pt>
                <c:pt idx="31">
                  <c:v>2210</c:v>
                </c:pt>
                <c:pt idx="32">
                  <c:v>2210</c:v>
                </c:pt>
                <c:pt idx="33">
                  <c:v>2204</c:v>
                </c:pt>
                <c:pt idx="34">
                  <c:v>2186</c:v>
                </c:pt>
                <c:pt idx="35">
                  <c:v>2180</c:v>
                </c:pt>
                <c:pt idx="36">
                  <c:v>2172</c:v>
                </c:pt>
                <c:pt idx="37">
                  <c:v>2162</c:v>
                </c:pt>
                <c:pt idx="38">
                  <c:v>2151</c:v>
                </c:pt>
                <c:pt idx="39">
                  <c:v>2143</c:v>
                </c:pt>
                <c:pt idx="40">
                  <c:v>2133</c:v>
                </c:pt>
                <c:pt idx="41">
                  <c:v>2119</c:v>
                </c:pt>
                <c:pt idx="42">
                  <c:v>2108</c:v>
                </c:pt>
                <c:pt idx="43">
                  <c:v>2096</c:v>
                </c:pt>
                <c:pt idx="44">
                  <c:v>2086</c:v>
                </c:pt>
                <c:pt idx="45">
                  <c:v>2076</c:v>
                </c:pt>
                <c:pt idx="46">
                  <c:v>2063</c:v>
                </c:pt>
                <c:pt idx="47">
                  <c:v>2050</c:v>
                </c:pt>
                <c:pt idx="48">
                  <c:v>2036</c:v>
                </c:pt>
                <c:pt idx="49">
                  <c:v>2022</c:v>
                </c:pt>
              </c:numCache>
            </c:numRef>
          </c:val>
          <c:smooth val="0"/>
          <c:extLst>
            <c:ext xmlns:c16="http://schemas.microsoft.com/office/drawing/2014/chart" uri="{C3380CC4-5D6E-409C-BE32-E72D297353CC}">
              <c16:uniqueId val="{00000000-AEF0-4198-8DCD-387CF474B076}"/>
            </c:ext>
          </c:extLst>
        </c:ser>
        <c:ser>
          <c:idx val="1"/>
          <c:order val="1"/>
          <c:tx>
            <c:strRef>
              <c:f>[3]数・人口!$I$2</c:f>
              <c:strCache>
                <c:ptCount val="1"/>
                <c:pt idx="0">
                  <c:v>給水人口計</c:v>
                </c:pt>
              </c:strCache>
            </c:strRef>
          </c:tx>
          <c:spPr>
            <a:ln w="12700">
              <a:solidFill>
                <a:srgbClr val="993366"/>
              </a:solidFill>
              <a:prstDash val="solid"/>
            </a:ln>
          </c:spPr>
          <c:marker>
            <c:symbol val="circle"/>
            <c:size val="4"/>
            <c:spPr>
              <a:solidFill>
                <a:srgbClr val="000000"/>
              </a:solidFill>
              <a:ln>
                <a:solidFill>
                  <a:srgbClr val="000000"/>
                </a:solidFill>
                <a:prstDash val="solid"/>
              </a:ln>
            </c:spPr>
          </c:marker>
          <c:cat>
            <c:strRef>
              <c:f>[3]数・人口!$G$3:$G$52</c:f>
              <c:strCache>
                <c:ptCount val="50"/>
                <c:pt idx="0">
                  <c:v>25934</c:v>
                </c:pt>
                <c:pt idx="1">
                  <c:v>26299</c:v>
                </c:pt>
                <c:pt idx="2">
                  <c:v>26665</c:v>
                </c:pt>
                <c:pt idx="3">
                  <c:v>27030</c:v>
                </c:pt>
                <c:pt idx="4">
                  <c:v>27395</c:v>
                </c:pt>
                <c:pt idx="5">
                  <c:v>27760</c:v>
                </c:pt>
                <c:pt idx="6">
                  <c:v>28126</c:v>
                </c:pt>
                <c:pt idx="7">
                  <c:v>28491</c:v>
                </c:pt>
                <c:pt idx="8">
                  <c:v>28856</c:v>
                </c:pt>
                <c:pt idx="9">
                  <c:v>29221</c:v>
                </c:pt>
                <c:pt idx="10">
                  <c:v>29587</c:v>
                </c:pt>
                <c:pt idx="11">
                  <c:v>29952</c:v>
                </c:pt>
                <c:pt idx="12">
                  <c:v>30317</c:v>
                </c:pt>
                <c:pt idx="13">
                  <c:v>30682</c:v>
                </c:pt>
                <c:pt idx="14">
                  <c:v>31048</c:v>
                </c:pt>
                <c:pt idx="15">
                  <c:v>31413</c:v>
                </c:pt>
                <c:pt idx="16">
                  <c:v>31778</c:v>
                </c:pt>
                <c:pt idx="17">
                  <c:v>32143</c:v>
                </c:pt>
                <c:pt idx="18">
                  <c:v>32509</c:v>
                </c:pt>
                <c:pt idx="19">
                  <c:v>32874</c:v>
                </c:pt>
                <c:pt idx="20">
                  <c:v>33239</c:v>
                </c:pt>
                <c:pt idx="21">
                  <c:v>33604</c:v>
                </c:pt>
                <c:pt idx="22">
                  <c:v>33970</c:v>
                </c:pt>
                <c:pt idx="23">
                  <c:v>34335</c:v>
                </c:pt>
                <c:pt idx="24">
                  <c:v>34700</c:v>
                </c:pt>
                <c:pt idx="25">
                  <c:v>35065</c:v>
                </c:pt>
                <c:pt idx="26">
                  <c:v>35431</c:v>
                </c:pt>
                <c:pt idx="27">
                  <c:v>35796</c:v>
                </c:pt>
                <c:pt idx="28">
                  <c:v>36161</c:v>
                </c:pt>
                <c:pt idx="29">
                  <c:v>36526</c:v>
                </c:pt>
                <c:pt idx="30">
                  <c:v>36892</c:v>
                </c:pt>
                <c:pt idx="31">
                  <c:v>H14</c:v>
                </c:pt>
                <c:pt idx="32">
                  <c:v>H15</c:v>
                </c:pt>
                <c:pt idx="33">
                  <c:v>H16</c:v>
                </c:pt>
                <c:pt idx="34">
                  <c:v>H17</c:v>
                </c:pt>
                <c:pt idx="35">
                  <c:v>H18</c:v>
                </c:pt>
                <c:pt idx="36">
                  <c:v>H19</c:v>
                </c:pt>
                <c:pt idx="37">
                  <c:v>H20</c:v>
                </c:pt>
                <c:pt idx="38">
                  <c:v>H21</c:v>
                </c:pt>
                <c:pt idx="39">
                  <c:v>H22</c:v>
                </c:pt>
                <c:pt idx="40">
                  <c:v>H23</c:v>
                </c:pt>
                <c:pt idx="41">
                  <c:v>H24</c:v>
                </c:pt>
                <c:pt idx="42">
                  <c:v>H25</c:v>
                </c:pt>
                <c:pt idx="43">
                  <c:v>H26</c:v>
                </c:pt>
                <c:pt idx="44">
                  <c:v>H27</c:v>
                </c:pt>
                <c:pt idx="45">
                  <c:v>H28</c:v>
                </c:pt>
                <c:pt idx="46">
                  <c:v>H29</c:v>
                </c:pt>
                <c:pt idx="47">
                  <c:v>H30</c:v>
                </c:pt>
                <c:pt idx="48">
                  <c:v>R元</c:v>
                </c:pt>
                <c:pt idx="49">
                  <c:v>R2</c:v>
                </c:pt>
              </c:strCache>
            </c:strRef>
          </c:cat>
          <c:val>
            <c:numRef>
              <c:f>[3]数・人口!$I$3:$I$52</c:f>
              <c:numCache>
                <c:formatCode>General</c:formatCode>
                <c:ptCount val="50"/>
                <c:pt idx="0">
                  <c:v>1676.8109999999999</c:v>
                </c:pt>
                <c:pt idx="1">
                  <c:v>1710.894</c:v>
                </c:pt>
                <c:pt idx="2">
                  <c:v>1749.7639999999999</c:v>
                </c:pt>
                <c:pt idx="3">
                  <c:v>1770.6379999999999</c:v>
                </c:pt>
                <c:pt idx="4">
                  <c:v>1802.346</c:v>
                </c:pt>
                <c:pt idx="5">
                  <c:v>1825.0039999999999</c:v>
                </c:pt>
                <c:pt idx="6">
                  <c:v>1860.6279999999999</c:v>
                </c:pt>
                <c:pt idx="7">
                  <c:v>1890.826</c:v>
                </c:pt>
                <c:pt idx="8">
                  <c:v>1914.616</c:v>
                </c:pt>
                <c:pt idx="9">
                  <c:v>1934.652</c:v>
                </c:pt>
                <c:pt idx="10">
                  <c:v>1951.97</c:v>
                </c:pt>
                <c:pt idx="11">
                  <c:v>1970.1949999999999</c:v>
                </c:pt>
                <c:pt idx="12">
                  <c:v>1984.9369999999999</c:v>
                </c:pt>
                <c:pt idx="13">
                  <c:v>2005.037</c:v>
                </c:pt>
                <c:pt idx="14">
                  <c:v>2030.3320000000001</c:v>
                </c:pt>
                <c:pt idx="15">
                  <c:v>2048.1979999999999</c:v>
                </c:pt>
                <c:pt idx="16">
                  <c:v>2055.5549999999998</c:v>
                </c:pt>
                <c:pt idx="17">
                  <c:v>2068.9450000000002</c:v>
                </c:pt>
                <c:pt idx="18">
                  <c:v>2088.62</c:v>
                </c:pt>
                <c:pt idx="19">
                  <c:v>2094.7139999999999</c:v>
                </c:pt>
                <c:pt idx="20">
                  <c:v>2104.8620000000001</c:v>
                </c:pt>
                <c:pt idx="21">
                  <c:v>2113.6190000000001</c:v>
                </c:pt>
                <c:pt idx="22">
                  <c:v>2126.1999999999998</c:v>
                </c:pt>
                <c:pt idx="23">
                  <c:v>2143.4690000000001</c:v>
                </c:pt>
                <c:pt idx="24">
                  <c:v>2149.0970000000002</c:v>
                </c:pt>
                <c:pt idx="25">
                  <c:v>2159.991</c:v>
                </c:pt>
                <c:pt idx="26">
                  <c:v>2169.0709999999999</c:v>
                </c:pt>
                <c:pt idx="27">
                  <c:v>2175.0859999999998</c:v>
                </c:pt>
                <c:pt idx="28">
                  <c:v>2182.81</c:v>
                </c:pt>
                <c:pt idx="29">
                  <c:v>2183</c:v>
                </c:pt>
                <c:pt idx="30">
                  <c:v>2182</c:v>
                </c:pt>
                <c:pt idx="31">
                  <c:v>2182</c:v>
                </c:pt>
                <c:pt idx="32">
                  <c:v>2185</c:v>
                </c:pt>
                <c:pt idx="33">
                  <c:v>2179</c:v>
                </c:pt>
                <c:pt idx="34">
                  <c:v>2162</c:v>
                </c:pt>
                <c:pt idx="35">
                  <c:v>2156</c:v>
                </c:pt>
                <c:pt idx="36">
                  <c:v>2147</c:v>
                </c:pt>
                <c:pt idx="37">
                  <c:v>2136</c:v>
                </c:pt>
                <c:pt idx="38">
                  <c:v>2123</c:v>
                </c:pt>
                <c:pt idx="39">
                  <c:v>2118</c:v>
                </c:pt>
                <c:pt idx="40">
                  <c:v>2109</c:v>
                </c:pt>
                <c:pt idx="41">
                  <c:v>2096</c:v>
                </c:pt>
                <c:pt idx="42">
                  <c:v>2084</c:v>
                </c:pt>
                <c:pt idx="43">
                  <c:v>2072</c:v>
                </c:pt>
                <c:pt idx="44">
                  <c:v>2062</c:v>
                </c:pt>
                <c:pt idx="45">
                  <c:v>2053</c:v>
                </c:pt>
                <c:pt idx="46">
                  <c:v>2038</c:v>
                </c:pt>
                <c:pt idx="47">
                  <c:v>2028</c:v>
                </c:pt>
                <c:pt idx="48">
                  <c:v>2016</c:v>
                </c:pt>
                <c:pt idx="49">
                  <c:v>2003</c:v>
                </c:pt>
              </c:numCache>
            </c:numRef>
          </c:val>
          <c:smooth val="0"/>
          <c:extLst>
            <c:ext xmlns:c16="http://schemas.microsoft.com/office/drawing/2014/chart" uri="{C3380CC4-5D6E-409C-BE32-E72D297353CC}">
              <c16:uniqueId val="{00000001-AEF0-4198-8DCD-387CF474B076}"/>
            </c:ext>
          </c:extLst>
        </c:ser>
        <c:ser>
          <c:idx val="2"/>
          <c:order val="2"/>
          <c:tx>
            <c:strRef>
              <c:f>[3]数・人口!$J$2</c:f>
              <c:strCache>
                <c:ptCount val="1"/>
                <c:pt idx="0">
                  <c:v>上水道</c:v>
                </c:pt>
              </c:strCache>
            </c:strRef>
          </c:tx>
          <c:spPr>
            <a:ln w="12700">
              <a:solidFill>
                <a:srgbClr val="FF00FF"/>
              </a:solidFill>
              <a:prstDash val="solid"/>
            </a:ln>
          </c:spPr>
          <c:marker>
            <c:symbol val="triangle"/>
            <c:size val="4"/>
            <c:spPr>
              <a:solidFill>
                <a:srgbClr val="FFFFFF"/>
              </a:solidFill>
              <a:ln>
                <a:solidFill>
                  <a:srgbClr val="000000"/>
                </a:solidFill>
                <a:prstDash val="solid"/>
              </a:ln>
            </c:spPr>
          </c:marker>
          <c:cat>
            <c:strRef>
              <c:f>[3]数・人口!$G$3:$G$52</c:f>
              <c:strCache>
                <c:ptCount val="50"/>
                <c:pt idx="0">
                  <c:v>25934</c:v>
                </c:pt>
                <c:pt idx="1">
                  <c:v>26299</c:v>
                </c:pt>
                <c:pt idx="2">
                  <c:v>26665</c:v>
                </c:pt>
                <c:pt idx="3">
                  <c:v>27030</c:v>
                </c:pt>
                <c:pt idx="4">
                  <c:v>27395</c:v>
                </c:pt>
                <c:pt idx="5">
                  <c:v>27760</c:v>
                </c:pt>
                <c:pt idx="6">
                  <c:v>28126</c:v>
                </c:pt>
                <c:pt idx="7">
                  <c:v>28491</c:v>
                </c:pt>
                <c:pt idx="8">
                  <c:v>28856</c:v>
                </c:pt>
                <c:pt idx="9">
                  <c:v>29221</c:v>
                </c:pt>
                <c:pt idx="10">
                  <c:v>29587</c:v>
                </c:pt>
                <c:pt idx="11">
                  <c:v>29952</c:v>
                </c:pt>
                <c:pt idx="12">
                  <c:v>30317</c:v>
                </c:pt>
                <c:pt idx="13">
                  <c:v>30682</c:v>
                </c:pt>
                <c:pt idx="14">
                  <c:v>31048</c:v>
                </c:pt>
                <c:pt idx="15">
                  <c:v>31413</c:v>
                </c:pt>
                <c:pt idx="16">
                  <c:v>31778</c:v>
                </c:pt>
                <c:pt idx="17">
                  <c:v>32143</c:v>
                </c:pt>
                <c:pt idx="18">
                  <c:v>32509</c:v>
                </c:pt>
                <c:pt idx="19">
                  <c:v>32874</c:v>
                </c:pt>
                <c:pt idx="20">
                  <c:v>33239</c:v>
                </c:pt>
                <c:pt idx="21">
                  <c:v>33604</c:v>
                </c:pt>
                <c:pt idx="22">
                  <c:v>33970</c:v>
                </c:pt>
                <c:pt idx="23">
                  <c:v>34335</c:v>
                </c:pt>
                <c:pt idx="24">
                  <c:v>34700</c:v>
                </c:pt>
                <c:pt idx="25">
                  <c:v>35065</c:v>
                </c:pt>
                <c:pt idx="26">
                  <c:v>35431</c:v>
                </c:pt>
                <c:pt idx="27">
                  <c:v>35796</c:v>
                </c:pt>
                <c:pt idx="28">
                  <c:v>36161</c:v>
                </c:pt>
                <c:pt idx="29">
                  <c:v>36526</c:v>
                </c:pt>
                <c:pt idx="30">
                  <c:v>36892</c:v>
                </c:pt>
                <c:pt idx="31">
                  <c:v>H14</c:v>
                </c:pt>
                <c:pt idx="32">
                  <c:v>H15</c:v>
                </c:pt>
                <c:pt idx="33">
                  <c:v>H16</c:v>
                </c:pt>
                <c:pt idx="34">
                  <c:v>H17</c:v>
                </c:pt>
                <c:pt idx="35">
                  <c:v>H18</c:v>
                </c:pt>
                <c:pt idx="36">
                  <c:v>H19</c:v>
                </c:pt>
                <c:pt idx="37">
                  <c:v>H20</c:v>
                </c:pt>
                <c:pt idx="38">
                  <c:v>H21</c:v>
                </c:pt>
                <c:pt idx="39">
                  <c:v>H22</c:v>
                </c:pt>
                <c:pt idx="40">
                  <c:v>H23</c:v>
                </c:pt>
                <c:pt idx="41">
                  <c:v>H24</c:v>
                </c:pt>
                <c:pt idx="42">
                  <c:v>H25</c:v>
                </c:pt>
                <c:pt idx="43">
                  <c:v>H26</c:v>
                </c:pt>
                <c:pt idx="44">
                  <c:v>H27</c:v>
                </c:pt>
                <c:pt idx="45">
                  <c:v>H28</c:v>
                </c:pt>
                <c:pt idx="46">
                  <c:v>H29</c:v>
                </c:pt>
                <c:pt idx="47">
                  <c:v>H30</c:v>
                </c:pt>
                <c:pt idx="48">
                  <c:v>R元</c:v>
                </c:pt>
                <c:pt idx="49">
                  <c:v>R2</c:v>
                </c:pt>
              </c:strCache>
            </c:strRef>
          </c:cat>
          <c:val>
            <c:numRef>
              <c:f>[3]数・人口!$J$3:$J$52</c:f>
              <c:numCache>
                <c:formatCode>General</c:formatCode>
                <c:ptCount val="50"/>
                <c:pt idx="0">
                  <c:v>1321.4490000000001</c:v>
                </c:pt>
                <c:pt idx="1">
                  <c:v>1363.7170000000001</c:v>
                </c:pt>
                <c:pt idx="2">
                  <c:v>1408.5250000000001</c:v>
                </c:pt>
                <c:pt idx="3">
                  <c:v>1445.5920000000001</c:v>
                </c:pt>
                <c:pt idx="4">
                  <c:v>1490.1679999999999</c:v>
                </c:pt>
                <c:pt idx="5">
                  <c:v>1516.6510000000001</c:v>
                </c:pt>
                <c:pt idx="6">
                  <c:v>1562.54</c:v>
                </c:pt>
                <c:pt idx="7">
                  <c:v>1606.104</c:v>
                </c:pt>
                <c:pt idx="8">
                  <c:v>1631.453</c:v>
                </c:pt>
                <c:pt idx="9">
                  <c:v>1651.2639999999999</c:v>
                </c:pt>
                <c:pt idx="10">
                  <c:v>1665.848</c:v>
                </c:pt>
                <c:pt idx="11">
                  <c:v>1685.4280000000001</c:v>
                </c:pt>
                <c:pt idx="12">
                  <c:v>1700.6389999999999</c:v>
                </c:pt>
                <c:pt idx="13">
                  <c:v>1716.646</c:v>
                </c:pt>
                <c:pt idx="14">
                  <c:v>1743.8779999999999</c:v>
                </c:pt>
                <c:pt idx="15">
                  <c:v>1757.0540000000001</c:v>
                </c:pt>
                <c:pt idx="16">
                  <c:v>1767.5239999999999</c:v>
                </c:pt>
                <c:pt idx="17">
                  <c:v>1779.7909999999999</c:v>
                </c:pt>
                <c:pt idx="18">
                  <c:v>1809.482</c:v>
                </c:pt>
                <c:pt idx="19">
                  <c:v>1820.828</c:v>
                </c:pt>
                <c:pt idx="20">
                  <c:v>1833.0329999999999</c:v>
                </c:pt>
                <c:pt idx="21">
                  <c:v>1840.749</c:v>
                </c:pt>
                <c:pt idx="22">
                  <c:v>1851.8489999999999</c:v>
                </c:pt>
                <c:pt idx="23">
                  <c:v>1871.511</c:v>
                </c:pt>
                <c:pt idx="24">
                  <c:v>1878.6669999999999</c:v>
                </c:pt>
                <c:pt idx="25">
                  <c:v>1885.857</c:v>
                </c:pt>
                <c:pt idx="26">
                  <c:v>1904.63</c:v>
                </c:pt>
                <c:pt idx="27">
                  <c:v>1910.221</c:v>
                </c:pt>
                <c:pt idx="28">
                  <c:v>1920.146</c:v>
                </c:pt>
                <c:pt idx="29">
                  <c:v>1926</c:v>
                </c:pt>
                <c:pt idx="30">
                  <c:v>1930</c:v>
                </c:pt>
                <c:pt idx="31">
                  <c:v>1933</c:v>
                </c:pt>
                <c:pt idx="32">
                  <c:v>1938</c:v>
                </c:pt>
                <c:pt idx="33">
                  <c:v>1953</c:v>
                </c:pt>
                <c:pt idx="34">
                  <c:v>1938</c:v>
                </c:pt>
                <c:pt idx="35">
                  <c:v>1936</c:v>
                </c:pt>
                <c:pt idx="36">
                  <c:v>1930</c:v>
                </c:pt>
                <c:pt idx="37">
                  <c:v>1923</c:v>
                </c:pt>
                <c:pt idx="38">
                  <c:v>1915</c:v>
                </c:pt>
                <c:pt idx="39">
                  <c:v>1913</c:v>
                </c:pt>
                <c:pt idx="40">
                  <c:v>1913</c:v>
                </c:pt>
                <c:pt idx="41">
                  <c:v>1904</c:v>
                </c:pt>
                <c:pt idx="42">
                  <c:v>1900</c:v>
                </c:pt>
                <c:pt idx="43">
                  <c:v>1909</c:v>
                </c:pt>
                <c:pt idx="44">
                  <c:v>1906</c:v>
                </c:pt>
                <c:pt idx="45">
                  <c:v>1900</c:v>
                </c:pt>
                <c:pt idx="46">
                  <c:v>1949</c:v>
                </c:pt>
                <c:pt idx="47">
                  <c:v>1941</c:v>
                </c:pt>
                <c:pt idx="48">
                  <c:v>1929</c:v>
                </c:pt>
                <c:pt idx="49">
                  <c:v>1918</c:v>
                </c:pt>
              </c:numCache>
            </c:numRef>
          </c:val>
          <c:smooth val="0"/>
          <c:extLst>
            <c:ext xmlns:c16="http://schemas.microsoft.com/office/drawing/2014/chart" uri="{C3380CC4-5D6E-409C-BE32-E72D297353CC}">
              <c16:uniqueId val="{00000002-AEF0-4198-8DCD-387CF474B076}"/>
            </c:ext>
          </c:extLst>
        </c:ser>
        <c:ser>
          <c:idx val="3"/>
          <c:order val="3"/>
          <c:tx>
            <c:strRef>
              <c:f>[3]数・人口!$K$2</c:f>
              <c:strCache>
                <c:ptCount val="1"/>
                <c:pt idx="0">
                  <c:v>簡易水道</c:v>
                </c:pt>
              </c:strCache>
            </c:strRef>
          </c:tx>
          <c:spPr>
            <a:ln w="12700">
              <a:solidFill>
                <a:srgbClr val="00FF00"/>
              </a:solidFill>
              <a:prstDash val="solid"/>
            </a:ln>
          </c:spPr>
          <c:marker>
            <c:symbol val="square"/>
            <c:size val="4"/>
            <c:spPr>
              <a:solidFill>
                <a:srgbClr val="000000"/>
              </a:solidFill>
              <a:ln>
                <a:solidFill>
                  <a:srgbClr val="000000"/>
                </a:solidFill>
                <a:prstDash val="solid"/>
              </a:ln>
            </c:spPr>
          </c:marker>
          <c:cat>
            <c:strRef>
              <c:f>[3]数・人口!$G$3:$G$52</c:f>
              <c:strCache>
                <c:ptCount val="50"/>
                <c:pt idx="0">
                  <c:v>25934</c:v>
                </c:pt>
                <c:pt idx="1">
                  <c:v>26299</c:v>
                </c:pt>
                <c:pt idx="2">
                  <c:v>26665</c:v>
                </c:pt>
                <c:pt idx="3">
                  <c:v>27030</c:v>
                </c:pt>
                <c:pt idx="4">
                  <c:v>27395</c:v>
                </c:pt>
                <c:pt idx="5">
                  <c:v>27760</c:v>
                </c:pt>
                <c:pt idx="6">
                  <c:v>28126</c:v>
                </c:pt>
                <c:pt idx="7">
                  <c:v>28491</c:v>
                </c:pt>
                <c:pt idx="8">
                  <c:v>28856</c:v>
                </c:pt>
                <c:pt idx="9">
                  <c:v>29221</c:v>
                </c:pt>
                <c:pt idx="10">
                  <c:v>29587</c:v>
                </c:pt>
                <c:pt idx="11">
                  <c:v>29952</c:v>
                </c:pt>
                <c:pt idx="12">
                  <c:v>30317</c:v>
                </c:pt>
                <c:pt idx="13">
                  <c:v>30682</c:v>
                </c:pt>
                <c:pt idx="14">
                  <c:v>31048</c:v>
                </c:pt>
                <c:pt idx="15">
                  <c:v>31413</c:v>
                </c:pt>
                <c:pt idx="16">
                  <c:v>31778</c:v>
                </c:pt>
                <c:pt idx="17">
                  <c:v>32143</c:v>
                </c:pt>
                <c:pt idx="18">
                  <c:v>32509</c:v>
                </c:pt>
                <c:pt idx="19">
                  <c:v>32874</c:v>
                </c:pt>
                <c:pt idx="20">
                  <c:v>33239</c:v>
                </c:pt>
                <c:pt idx="21">
                  <c:v>33604</c:v>
                </c:pt>
                <c:pt idx="22">
                  <c:v>33970</c:v>
                </c:pt>
                <c:pt idx="23">
                  <c:v>34335</c:v>
                </c:pt>
                <c:pt idx="24">
                  <c:v>34700</c:v>
                </c:pt>
                <c:pt idx="25">
                  <c:v>35065</c:v>
                </c:pt>
                <c:pt idx="26">
                  <c:v>35431</c:v>
                </c:pt>
                <c:pt idx="27">
                  <c:v>35796</c:v>
                </c:pt>
                <c:pt idx="28">
                  <c:v>36161</c:v>
                </c:pt>
                <c:pt idx="29">
                  <c:v>36526</c:v>
                </c:pt>
                <c:pt idx="30">
                  <c:v>36892</c:v>
                </c:pt>
                <c:pt idx="31">
                  <c:v>H14</c:v>
                </c:pt>
                <c:pt idx="32">
                  <c:v>H15</c:v>
                </c:pt>
                <c:pt idx="33">
                  <c:v>H16</c:v>
                </c:pt>
                <c:pt idx="34">
                  <c:v>H17</c:v>
                </c:pt>
                <c:pt idx="35">
                  <c:v>H18</c:v>
                </c:pt>
                <c:pt idx="36">
                  <c:v>H19</c:v>
                </c:pt>
                <c:pt idx="37">
                  <c:v>H20</c:v>
                </c:pt>
                <c:pt idx="38">
                  <c:v>H21</c:v>
                </c:pt>
                <c:pt idx="39">
                  <c:v>H22</c:v>
                </c:pt>
                <c:pt idx="40">
                  <c:v>H23</c:v>
                </c:pt>
                <c:pt idx="41">
                  <c:v>H24</c:v>
                </c:pt>
                <c:pt idx="42">
                  <c:v>H25</c:v>
                </c:pt>
                <c:pt idx="43">
                  <c:v>H26</c:v>
                </c:pt>
                <c:pt idx="44">
                  <c:v>H27</c:v>
                </c:pt>
                <c:pt idx="45">
                  <c:v>H28</c:v>
                </c:pt>
                <c:pt idx="46">
                  <c:v>H29</c:v>
                </c:pt>
                <c:pt idx="47">
                  <c:v>H30</c:v>
                </c:pt>
                <c:pt idx="48">
                  <c:v>R元</c:v>
                </c:pt>
                <c:pt idx="49">
                  <c:v>R2</c:v>
                </c:pt>
              </c:strCache>
            </c:strRef>
          </c:cat>
          <c:val>
            <c:numRef>
              <c:f>[3]数・人口!$K$3:$K$52</c:f>
              <c:numCache>
                <c:formatCode>General</c:formatCode>
                <c:ptCount val="50"/>
                <c:pt idx="0">
                  <c:v>345.19400000000002</c:v>
                </c:pt>
                <c:pt idx="1">
                  <c:v>336.93799999999999</c:v>
                </c:pt>
                <c:pt idx="2">
                  <c:v>330.505</c:v>
                </c:pt>
                <c:pt idx="3">
                  <c:v>314.56900000000002</c:v>
                </c:pt>
                <c:pt idx="4">
                  <c:v>303.435</c:v>
                </c:pt>
                <c:pt idx="5">
                  <c:v>300.23500000000001</c:v>
                </c:pt>
                <c:pt idx="6">
                  <c:v>290.12599999999998</c:v>
                </c:pt>
                <c:pt idx="7">
                  <c:v>278.13099999999997</c:v>
                </c:pt>
                <c:pt idx="8">
                  <c:v>277.255</c:v>
                </c:pt>
                <c:pt idx="9">
                  <c:v>278.29399999999998</c:v>
                </c:pt>
                <c:pt idx="10">
                  <c:v>280.31</c:v>
                </c:pt>
                <c:pt idx="11">
                  <c:v>279.65800000000002</c:v>
                </c:pt>
                <c:pt idx="12">
                  <c:v>279.43799999999999</c:v>
                </c:pt>
                <c:pt idx="13">
                  <c:v>283.61599999999999</c:v>
                </c:pt>
                <c:pt idx="14">
                  <c:v>281.053</c:v>
                </c:pt>
                <c:pt idx="15">
                  <c:v>285.83300000000003</c:v>
                </c:pt>
                <c:pt idx="16">
                  <c:v>282.68799999999999</c:v>
                </c:pt>
                <c:pt idx="17">
                  <c:v>284.35300000000001</c:v>
                </c:pt>
                <c:pt idx="18">
                  <c:v>274.55700000000002</c:v>
                </c:pt>
                <c:pt idx="19">
                  <c:v>269.40100000000001</c:v>
                </c:pt>
                <c:pt idx="20">
                  <c:v>267.83300000000003</c:v>
                </c:pt>
                <c:pt idx="21">
                  <c:v>268.38900000000001</c:v>
                </c:pt>
                <c:pt idx="22">
                  <c:v>270.16500000000002</c:v>
                </c:pt>
                <c:pt idx="23">
                  <c:v>268.31599999999997</c:v>
                </c:pt>
                <c:pt idx="24">
                  <c:v>266.80799999999999</c:v>
                </c:pt>
                <c:pt idx="25">
                  <c:v>271.06900000000002</c:v>
                </c:pt>
                <c:pt idx="26">
                  <c:v>261.13099999999997</c:v>
                </c:pt>
                <c:pt idx="27">
                  <c:v>261.19099999999997</c:v>
                </c:pt>
                <c:pt idx="28">
                  <c:v>259.50400000000002</c:v>
                </c:pt>
                <c:pt idx="29">
                  <c:v>254</c:v>
                </c:pt>
                <c:pt idx="30">
                  <c:v>248</c:v>
                </c:pt>
                <c:pt idx="31">
                  <c:v>244</c:v>
                </c:pt>
                <c:pt idx="32">
                  <c:v>241</c:v>
                </c:pt>
                <c:pt idx="33">
                  <c:v>222</c:v>
                </c:pt>
                <c:pt idx="34">
                  <c:v>219</c:v>
                </c:pt>
                <c:pt idx="35">
                  <c:v>215</c:v>
                </c:pt>
                <c:pt idx="36">
                  <c:v>213</c:v>
                </c:pt>
                <c:pt idx="37">
                  <c:v>209</c:v>
                </c:pt>
                <c:pt idx="38">
                  <c:v>206</c:v>
                </c:pt>
                <c:pt idx="39">
                  <c:v>202</c:v>
                </c:pt>
                <c:pt idx="40">
                  <c:v>194</c:v>
                </c:pt>
                <c:pt idx="41">
                  <c:v>190</c:v>
                </c:pt>
                <c:pt idx="42">
                  <c:v>183</c:v>
                </c:pt>
                <c:pt idx="43">
                  <c:v>162</c:v>
                </c:pt>
                <c:pt idx="44">
                  <c:v>154</c:v>
                </c:pt>
                <c:pt idx="45">
                  <c:v>151</c:v>
                </c:pt>
                <c:pt idx="46">
                  <c:v>87</c:v>
                </c:pt>
                <c:pt idx="47">
                  <c:v>85</c:v>
                </c:pt>
                <c:pt idx="48">
                  <c:v>84</c:v>
                </c:pt>
                <c:pt idx="49">
                  <c:v>83</c:v>
                </c:pt>
              </c:numCache>
            </c:numRef>
          </c:val>
          <c:smooth val="0"/>
          <c:extLst>
            <c:ext xmlns:c16="http://schemas.microsoft.com/office/drawing/2014/chart" uri="{C3380CC4-5D6E-409C-BE32-E72D297353CC}">
              <c16:uniqueId val="{00000003-AEF0-4198-8DCD-387CF474B076}"/>
            </c:ext>
          </c:extLst>
        </c:ser>
        <c:ser>
          <c:idx val="4"/>
          <c:order val="4"/>
          <c:tx>
            <c:strRef>
              <c:f>[3]数・人口!$L$2</c:f>
              <c:strCache>
                <c:ptCount val="1"/>
                <c:pt idx="0">
                  <c:v>専用水道</c:v>
                </c:pt>
              </c:strCache>
            </c:strRef>
          </c:tx>
          <c:spPr>
            <a:ln w="12700">
              <a:solidFill>
                <a:srgbClr val="FF6600"/>
              </a:solidFill>
              <a:prstDash val="solid"/>
            </a:ln>
          </c:spPr>
          <c:marker>
            <c:symbol val="x"/>
            <c:size val="5"/>
            <c:spPr>
              <a:noFill/>
              <a:ln>
                <a:solidFill>
                  <a:srgbClr val="000000"/>
                </a:solidFill>
                <a:prstDash val="solid"/>
              </a:ln>
            </c:spPr>
          </c:marker>
          <c:cat>
            <c:strRef>
              <c:f>[3]数・人口!$G$3:$G$52</c:f>
              <c:strCache>
                <c:ptCount val="50"/>
                <c:pt idx="0">
                  <c:v>25934</c:v>
                </c:pt>
                <c:pt idx="1">
                  <c:v>26299</c:v>
                </c:pt>
                <c:pt idx="2">
                  <c:v>26665</c:v>
                </c:pt>
                <c:pt idx="3">
                  <c:v>27030</c:v>
                </c:pt>
                <c:pt idx="4">
                  <c:v>27395</c:v>
                </c:pt>
                <c:pt idx="5">
                  <c:v>27760</c:v>
                </c:pt>
                <c:pt idx="6">
                  <c:v>28126</c:v>
                </c:pt>
                <c:pt idx="7">
                  <c:v>28491</c:v>
                </c:pt>
                <c:pt idx="8">
                  <c:v>28856</c:v>
                </c:pt>
                <c:pt idx="9">
                  <c:v>29221</c:v>
                </c:pt>
                <c:pt idx="10">
                  <c:v>29587</c:v>
                </c:pt>
                <c:pt idx="11">
                  <c:v>29952</c:v>
                </c:pt>
                <c:pt idx="12">
                  <c:v>30317</c:v>
                </c:pt>
                <c:pt idx="13">
                  <c:v>30682</c:v>
                </c:pt>
                <c:pt idx="14">
                  <c:v>31048</c:v>
                </c:pt>
                <c:pt idx="15">
                  <c:v>31413</c:v>
                </c:pt>
                <c:pt idx="16">
                  <c:v>31778</c:v>
                </c:pt>
                <c:pt idx="17">
                  <c:v>32143</c:v>
                </c:pt>
                <c:pt idx="18">
                  <c:v>32509</c:v>
                </c:pt>
                <c:pt idx="19">
                  <c:v>32874</c:v>
                </c:pt>
                <c:pt idx="20">
                  <c:v>33239</c:v>
                </c:pt>
                <c:pt idx="21">
                  <c:v>33604</c:v>
                </c:pt>
                <c:pt idx="22">
                  <c:v>33970</c:v>
                </c:pt>
                <c:pt idx="23">
                  <c:v>34335</c:v>
                </c:pt>
                <c:pt idx="24">
                  <c:v>34700</c:v>
                </c:pt>
                <c:pt idx="25">
                  <c:v>35065</c:v>
                </c:pt>
                <c:pt idx="26">
                  <c:v>35431</c:v>
                </c:pt>
                <c:pt idx="27">
                  <c:v>35796</c:v>
                </c:pt>
                <c:pt idx="28">
                  <c:v>36161</c:v>
                </c:pt>
                <c:pt idx="29">
                  <c:v>36526</c:v>
                </c:pt>
                <c:pt idx="30">
                  <c:v>36892</c:v>
                </c:pt>
                <c:pt idx="31">
                  <c:v>H14</c:v>
                </c:pt>
                <c:pt idx="32">
                  <c:v>H15</c:v>
                </c:pt>
                <c:pt idx="33">
                  <c:v>H16</c:v>
                </c:pt>
                <c:pt idx="34">
                  <c:v>H17</c:v>
                </c:pt>
                <c:pt idx="35">
                  <c:v>H18</c:v>
                </c:pt>
                <c:pt idx="36">
                  <c:v>H19</c:v>
                </c:pt>
                <c:pt idx="37">
                  <c:v>H20</c:v>
                </c:pt>
                <c:pt idx="38">
                  <c:v>H21</c:v>
                </c:pt>
                <c:pt idx="39">
                  <c:v>H22</c:v>
                </c:pt>
                <c:pt idx="40">
                  <c:v>H23</c:v>
                </c:pt>
                <c:pt idx="41">
                  <c:v>H24</c:v>
                </c:pt>
                <c:pt idx="42">
                  <c:v>H25</c:v>
                </c:pt>
                <c:pt idx="43">
                  <c:v>H26</c:v>
                </c:pt>
                <c:pt idx="44">
                  <c:v>H27</c:v>
                </c:pt>
                <c:pt idx="45">
                  <c:v>H28</c:v>
                </c:pt>
                <c:pt idx="46">
                  <c:v>H29</c:v>
                </c:pt>
                <c:pt idx="47">
                  <c:v>H30</c:v>
                </c:pt>
                <c:pt idx="48">
                  <c:v>R元</c:v>
                </c:pt>
                <c:pt idx="49">
                  <c:v>R2</c:v>
                </c:pt>
              </c:strCache>
            </c:strRef>
          </c:cat>
          <c:val>
            <c:numRef>
              <c:f>[3]数・人口!$L$3:$L$52</c:f>
              <c:numCache>
                <c:formatCode>General</c:formatCode>
                <c:ptCount val="50"/>
                <c:pt idx="0">
                  <c:v>10.167999999999999</c:v>
                </c:pt>
                <c:pt idx="1">
                  <c:v>10.239000000000001</c:v>
                </c:pt>
                <c:pt idx="2">
                  <c:v>10.734</c:v>
                </c:pt>
                <c:pt idx="3">
                  <c:v>10.477</c:v>
                </c:pt>
                <c:pt idx="4">
                  <c:v>8.7430000000000003</c:v>
                </c:pt>
                <c:pt idx="5">
                  <c:v>8.1180000000000003</c:v>
                </c:pt>
                <c:pt idx="6">
                  <c:v>7.9619999999999997</c:v>
                </c:pt>
                <c:pt idx="7">
                  <c:v>6.5910000000000002</c:v>
                </c:pt>
                <c:pt idx="8">
                  <c:v>5.9080000000000004</c:v>
                </c:pt>
                <c:pt idx="9">
                  <c:v>5.0940000000000003</c:v>
                </c:pt>
                <c:pt idx="10">
                  <c:v>5.8120000000000003</c:v>
                </c:pt>
                <c:pt idx="11">
                  <c:v>5.109</c:v>
                </c:pt>
                <c:pt idx="12">
                  <c:v>4.8600000000000003</c:v>
                </c:pt>
                <c:pt idx="13">
                  <c:v>4.7750000000000004</c:v>
                </c:pt>
                <c:pt idx="14">
                  <c:v>5.4009999999999998</c:v>
                </c:pt>
                <c:pt idx="15">
                  <c:v>5.3109999999999999</c:v>
                </c:pt>
                <c:pt idx="16">
                  <c:v>5.343</c:v>
                </c:pt>
                <c:pt idx="17">
                  <c:v>4.8010000000000002</c:v>
                </c:pt>
                <c:pt idx="18">
                  <c:v>4.5810000000000004</c:v>
                </c:pt>
                <c:pt idx="19">
                  <c:v>4.4850000000000003</c:v>
                </c:pt>
                <c:pt idx="20">
                  <c:v>3.996</c:v>
                </c:pt>
                <c:pt idx="21">
                  <c:v>4.4809999999999999</c:v>
                </c:pt>
                <c:pt idx="22">
                  <c:v>4.1859999999999999</c:v>
                </c:pt>
                <c:pt idx="23">
                  <c:v>3.6419999999999999</c:v>
                </c:pt>
                <c:pt idx="24">
                  <c:v>3.6219999999999999</c:v>
                </c:pt>
                <c:pt idx="25">
                  <c:v>3.0649999999999999</c:v>
                </c:pt>
                <c:pt idx="26">
                  <c:v>3.31</c:v>
                </c:pt>
                <c:pt idx="27">
                  <c:v>3.6739999999999999</c:v>
                </c:pt>
                <c:pt idx="28">
                  <c:v>3.16</c:v>
                </c:pt>
                <c:pt idx="29">
                  <c:v>3</c:v>
                </c:pt>
                <c:pt idx="30">
                  <c:v>3</c:v>
                </c:pt>
                <c:pt idx="31">
                  <c:v>5</c:v>
                </c:pt>
                <c:pt idx="32">
                  <c:v>5</c:v>
                </c:pt>
                <c:pt idx="33">
                  <c:v>5</c:v>
                </c:pt>
                <c:pt idx="34">
                  <c:v>5</c:v>
                </c:pt>
                <c:pt idx="35">
                  <c:v>5</c:v>
                </c:pt>
                <c:pt idx="36">
                  <c:v>4</c:v>
                </c:pt>
                <c:pt idx="37">
                  <c:v>4</c:v>
                </c:pt>
                <c:pt idx="38">
                  <c:v>2</c:v>
                </c:pt>
                <c:pt idx="39">
                  <c:v>3</c:v>
                </c:pt>
                <c:pt idx="40">
                  <c:v>3</c:v>
                </c:pt>
                <c:pt idx="41">
                  <c:v>2</c:v>
                </c:pt>
                <c:pt idx="42">
                  <c:v>2</c:v>
                </c:pt>
                <c:pt idx="43">
                  <c:v>2</c:v>
                </c:pt>
                <c:pt idx="44">
                  <c:v>2</c:v>
                </c:pt>
                <c:pt idx="45">
                  <c:v>2</c:v>
                </c:pt>
                <c:pt idx="46">
                  <c:v>2</c:v>
                </c:pt>
                <c:pt idx="47">
                  <c:v>2</c:v>
                </c:pt>
                <c:pt idx="48">
                  <c:v>2</c:v>
                </c:pt>
                <c:pt idx="49">
                  <c:v>2</c:v>
                </c:pt>
              </c:numCache>
            </c:numRef>
          </c:val>
          <c:smooth val="0"/>
          <c:extLst>
            <c:ext xmlns:c16="http://schemas.microsoft.com/office/drawing/2014/chart" uri="{C3380CC4-5D6E-409C-BE32-E72D297353CC}">
              <c16:uniqueId val="{00000004-AEF0-4198-8DCD-387CF474B076}"/>
            </c:ext>
          </c:extLst>
        </c:ser>
        <c:dLbls>
          <c:showLegendKey val="0"/>
          <c:showVal val="0"/>
          <c:showCatName val="0"/>
          <c:showSerName val="0"/>
          <c:showPercent val="0"/>
          <c:showBubbleSize val="0"/>
        </c:dLbls>
        <c:marker val="1"/>
        <c:smooth val="0"/>
        <c:axId val="-930021472"/>
        <c:axId val="-930016032"/>
      </c:lineChart>
      <c:lineChart>
        <c:grouping val="standard"/>
        <c:varyColors val="0"/>
        <c:ser>
          <c:idx val="5"/>
          <c:order val="5"/>
          <c:tx>
            <c:strRef>
              <c:f>[3]数・人口!$M$2</c:f>
              <c:strCache>
                <c:ptCount val="1"/>
                <c:pt idx="0">
                  <c:v>普及率</c:v>
                </c:pt>
              </c:strCache>
            </c:strRef>
          </c:tx>
          <c:spPr>
            <a:ln w="12700">
              <a:solidFill>
                <a:srgbClr val="FF0000"/>
              </a:solidFill>
              <a:prstDash val="solid"/>
            </a:ln>
          </c:spPr>
          <c:marker>
            <c:symbol val="square"/>
            <c:size val="5"/>
            <c:spPr>
              <a:solidFill>
                <a:srgbClr val="FFFFFF"/>
              </a:solidFill>
              <a:ln>
                <a:solidFill>
                  <a:srgbClr val="FF0000"/>
                </a:solidFill>
                <a:prstDash val="solid"/>
              </a:ln>
            </c:spPr>
          </c:marker>
          <c:cat>
            <c:strRef>
              <c:f>[3]数・人口!$G$3:$G$52</c:f>
              <c:strCache>
                <c:ptCount val="50"/>
                <c:pt idx="0">
                  <c:v>25934</c:v>
                </c:pt>
                <c:pt idx="1">
                  <c:v>26299</c:v>
                </c:pt>
                <c:pt idx="2">
                  <c:v>26665</c:v>
                </c:pt>
                <c:pt idx="3">
                  <c:v>27030</c:v>
                </c:pt>
                <c:pt idx="4">
                  <c:v>27395</c:v>
                </c:pt>
                <c:pt idx="5">
                  <c:v>27760</c:v>
                </c:pt>
                <c:pt idx="6">
                  <c:v>28126</c:v>
                </c:pt>
                <c:pt idx="7">
                  <c:v>28491</c:v>
                </c:pt>
                <c:pt idx="8">
                  <c:v>28856</c:v>
                </c:pt>
                <c:pt idx="9">
                  <c:v>29221</c:v>
                </c:pt>
                <c:pt idx="10">
                  <c:v>29587</c:v>
                </c:pt>
                <c:pt idx="11">
                  <c:v>29952</c:v>
                </c:pt>
                <c:pt idx="12">
                  <c:v>30317</c:v>
                </c:pt>
                <c:pt idx="13">
                  <c:v>30682</c:v>
                </c:pt>
                <c:pt idx="14">
                  <c:v>31048</c:v>
                </c:pt>
                <c:pt idx="15">
                  <c:v>31413</c:v>
                </c:pt>
                <c:pt idx="16">
                  <c:v>31778</c:v>
                </c:pt>
                <c:pt idx="17">
                  <c:v>32143</c:v>
                </c:pt>
                <c:pt idx="18">
                  <c:v>32509</c:v>
                </c:pt>
                <c:pt idx="19">
                  <c:v>32874</c:v>
                </c:pt>
                <c:pt idx="20">
                  <c:v>33239</c:v>
                </c:pt>
                <c:pt idx="21">
                  <c:v>33604</c:v>
                </c:pt>
                <c:pt idx="22">
                  <c:v>33970</c:v>
                </c:pt>
                <c:pt idx="23">
                  <c:v>34335</c:v>
                </c:pt>
                <c:pt idx="24">
                  <c:v>34700</c:v>
                </c:pt>
                <c:pt idx="25">
                  <c:v>35065</c:v>
                </c:pt>
                <c:pt idx="26">
                  <c:v>35431</c:v>
                </c:pt>
                <c:pt idx="27">
                  <c:v>35796</c:v>
                </c:pt>
                <c:pt idx="28">
                  <c:v>36161</c:v>
                </c:pt>
                <c:pt idx="29">
                  <c:v>36526</c:v>
                </c:pt>
                <c:pt idx="30">
                  <c:v>36892</c:v>
                </c:pt>
                <c:pt idx="31">
                  <c:v>H14</c:v>
                </c:pt>
                <c:pt idx="32">
                  <c:v>H15</c:v>
                </c:pt>
                <c:pt idx="33">
                  <c:v>H16</c:v>
                </c:pt>
                <c:pt idx="34">
                  <c:v>H17</c:v>
                </c:pt>
                <c:pt idx="35">
                  <c:v>H18</c:v>
                </c:pt>
                <c:pt idx="36">
                  <c:v>H19</c:v>
                </c:pt>
                <c:pt idx="37">
                  <c:v>H20</c:v>
                </c:pt>
                <c:pt idx="38">
                  <c:v>H21</c:v>
                </c:pt>
                <c:pt idx="39">
                  <c:v>H22</c:v>
                </c:pt>
                <c:pt idx="40">
                  <c:v>H23</c:v>
                </c:pt>
                <c:pt idx="41">
                  <c:v>H24</c:v>
                </c:pt>
                <c:pt idx="42">
                  <c:v>H25</c:v>
                </c:pt>
                <c:pt idx="43">
                  <c:v>H26</c:v>
                </c:pt>
                <c:pt idx="44">
                  <c:v>H27</c:v>
                </c:pt>
                <c:pt idx="45">
                  <c:v>H28</c:v>
                </c:pt>
                <c:pt idx="46">
                  <c:v>H29</c:v>
                </c:pt>
                <c:pt idx="47">
                  <c:v>H30</c:v>
                </c:pt>
                <c:pt idx="48">
                  <c:v>R元</c:v>
                </c:pt>
                <c:pt idx="49">
                  <c:v>R2</c:v>
                </c:pt>
              </c:strCache>
            </c:strRef>
          </c:cat>
          <c:val>
            <c:numRef>
              <c:f>[3]数・人口!$M$3:$M$52</c:f>
              <c:numCache>
                <c:formatCode>General</c:formatCode>
                <c:ptCount val="50"/>
                <c:pt idx="0">
                  <c:v>85.3</c:v>
                </c:pt>
                <c:pt idx="1">
                  <c:v>86.5</c:v>
                </c:pt>
                <c:pt idx="2">
                  <c:v>87.8</c:v>
                </c:pt>
                <c:pt idx="3">
                  <c:v>88.2</c:v>
                </c:pt>
                <c:pt idx="4">
                  <c:v>89.3</c:v>
                </c:pt>
                <c:pt idx="5">
                  <c:v>89.8</c:v>
                </c:pt>
                <c:pt idx="6">
                  <c:v>90.8</c:v>
                </c:pt>
                <c:pt idx="7">
                  <c:v>91.7</c:v>
                </c:pt>
                <c:pt idx="8">
                  <c:v>92.4</c:v>
                </c:pt>
                <c:pt idx="9">
                  <c:v>92.9</c:v>
                </c:pt>
                <c:pt idx="10">
                  <c:v>93.4</c:v>
                </c:pt>
                <c:pt idx="11">
                  <c:v>93.9</c:v>
                </c:pt>
                <c:pt idx="12">
                  <c:v>94.2</c:v>
                </c:pt>
                <c:pt idx="13">
                  <c:v>94.7</c:v>
                </c:pt>
                <c:pt idx="14">
                  <c:v>95.1</c:v>
                </c:pt>
                <c:pt idx="15">
                  <c:v>95.7</c:v>
                </c:pt>
                <c:pt idx="16">
                  <c:v>95.8</c:v>
                </c:pt>
                <c:pt idx="17">
                  <c:v>96.3</c:v>
                </c:pt>
                <c:pt idx="18">
                  <c:v>97</c:v>
                </c:pt>
                <c:pt idx="19">
                  <c:v>97.3</c:v>
                </c:pt>
                <c:pt idx="20">
                  <c:v>97.3</c:v>
                </c:pt>
                <c:pt idx="21">
                  <c:v>97.5</c:v>
                </c:pt>
                <c:pt idx="22">
                  <c:v>97.7</c:v>
                </c:pt>
                <c:pt idx="23">
                  <c:v>98</c:v>
                </c:pt>
                <c:pt idx="24">
                  <c:v>98.1</c:v>
                </c:pt>
                <c:pt idx="25">
                  <c:v>98.3</c:v>
                </c:pt>
                <c:pt idx="26">
                  <c:v>98.3</c:v>
                </c:pt>
                <c:pt idx="27">
                  <c:v>98.4</c:v>
                </c:pt>
                <c:pt idx="28">
                  <c:v>98.5</c:v>
                </c:pt>
                <c:pt idx="29">
                  <c:v>98.7</c:v>
                </c:pt>
                <c:pt idx="30">
                  <c:v>98.7</c:v>
                </c:pt>
                <c:pt idx="31">
                  <c:v>98.7</c:v>
                </c:pt>
                <c:pt idx="32">
                  <c:v>98.9</c:v>
                </c:pt>
                <c:pt idx="33">
                  <c:v>98.9</c:v>
                </c:pt>
                <c:pt idx="34">
                  <c:v>98.9</c:v>
                </c:pt>
                <c:pt idx="35">
                  <c:v>98.9</c:v>
                </c:pt>
                <c:pt idx="36">
                  <c:v>98.8</c:v>
                </c:pt>
                <c:pt idx="37">
                  <c:v>98.8</c:v>
                </c:pt>
                <c:pt idx="38">
                  <c:v>98.7</c:v>
                </c:pt>
                <c:pt idx="39">
                  <c:v>98.8</c:v>
                </c:pt>
                <c:pt idx="40">
                  <c:v>98.9</c:v>
                </c:pt>
                <c:pt idx="41">
                  <c:v>98.9</c:v>
                </c:pt>
                <c:pt idx="42">
                  <c:v>98.9</c:v>
                </c:pt>
                <c:pt idx="43">
                  <c:v>98.9</c:v>
                </c:pt>
                <c:pt idx="44">
                  <c:v>98.8</c:v>
                </c:pt>
                <c:pt idx="45">
                  <c:v>98.9</c:v>
                </c:pt>
                <c:pt idx="46">
                  <c:v>98.8</c:v>
                </c:pt>
                <c:pt idx="47">
                  <c:v>98.9</c:v>
                </c:pt>
                <c:pt idx="48">
                  <c:v>99</c:v>
                </c:pt>
                <c:pt idx="49">
                  <c:v>99</c:v>
                </c:pt>
              </c:numCache>
            </c:numRef>
          </c:val>
          <c:smooth val="0"/>
          <c:extLst>
            <c:ext xmlns:c16="http://schemas.microsoft.com/office/drawing/2014/chart" uri="{C3380CC4-5D6E-409C-BE32-E72D297353CC}">
              <c16:uniqueId val="{00000005-AEF0-4198-8DCD-387CF474B076}"/>
            </c:ext>
          </c:extLst>
        </c:ser>
        <c:dLbls>
          <c:showLegendKey val="0"/>
          <c:showVal val="0"/>
          <c:showCatName val="0"/>
          <c:showSerName val="0"/>
          <c:showPercent val="0"/>
          <c:showBubbleSize val="0"/>
        </c:dLbls>
        <c:marker val="1"/>
        <c:smooth val="0"/>
        <c:axId val="-930012768"/>
        <c:axId val="-930020928"/>
      </c:lineChart>
      <c:catAx>
        <c:axId val="-930021472"/>
        <c:scaling>
          <c:orientation val="minMax"/>
        </c:scaling>
        <c:delete val="0"/>
        <c:axPos val="b"/>
        <c:numFmt formatCode="[$-411]ge" sourceLinked="0"/>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16032"/>
        <c:crosses val="autoZero"/>
        <c:auto val="1"/>
        <c:lblAlgn val="ctr"/>
        <c:lblOffset val="100"/>
        <c:tickLblSkip val="5"/>
        <c:tickMarkSkip val="5"/>
        <c:noMultiLvlLbl val="0"/>
      </c:catAx>
      <c:valAx>
        <c:axId val="-930016032"/>
        <c:scaling>
          <c:orientation val="minMax"/>
        </c:scaling>
        <c:delete val="0"/>
        <c:axPos val="l"/>
        <c:majorGridlines>
          <c:spPr>
            <a:ln w="3175">
              <a:solidFill>
                <a:srgbClr val="000000"/>
              </a:solidFill>
              <a:prstDash val="solid"/>
            </a:ln>
          </c:spPr>
        </c:majorGridlines>
        <c:title>
          <c:tx>
            <c:rich>
              <a:bodyPr rot="0" vert="horz"/>
              <a:lstStyle/>
              <a:p>
                <a:pPr algn="ctr">
                  <a:defRPr sz="800" b="0" i="0" u="none" strike="noStrike" baseline="0">
                    <a:solidFill>
                      <a:srgbClr val="000000"/>
                    </a:solidFill>
                    <a:latin typeface="ＭＳ Ｐゴシック"/>
                    <a:ea typeface="ＭＳ Ｐゴシック"/>
                    <a:cs typeface="ＭＳ Ｐゴシック"/>
                  </a:defRPr>
                </a:pPr>
                <a:r>
                  <a:rPr lang="ja-JP" altLang="en-US"/>
                  <a:t>人口（千人）</a:t>
                </a:r>
              </a:p>
            </c:rich>
          </c:tx>
          <c:layout>
            <c:manualLayout>
              <c:xMode val="edge"/>
              <c:yMode val="edge"/>
              <c:x val="1.0937431947644098E-2"/>
              <c:y val="1.6556291390728478E-2"/>
            </c:manualLayout>
          </c:layout>
          <c:overlay val="0"/>
          <c:spPr>
            <a:noFill/>
            <a:ln w="25400">
              <a:noFill/>
            </a:ln>
          </c:spPr>
        </c:title>
        <c:numFmt formatCode="#,##0_ " sourceLinked="0"/>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21472"/>
        <c:crosses val="autoZero"/>
        <c:crossBetween val="between"/>
      </c:valAx>
      <c:catAx>
        <c:axId val="-930012768"/>
        <c:scaling>
          <c:orientation val="minMax"/>
        </c:scaling>
        <c:delete val="1"/>
        <c:axPos val="b"/>
        <c:numFmt formatCode="General" sourceLinked="1"/>
        <c:majorTickMark val="out"/>
        <c:minorTickMark val="none"/>
        <c:tickLblPos val="nextTo"/>
        <c:crossAx val="-930020928"/>
        <c:crosses val="autoZero"/>
        <c:auto val="1"/>
        <c:lblAlgn val="ctr"/>
        <c:lblOffset val="100"/>
        <c:noMultiLvlLbl val="0"/>
      </c:catAx>
      <c:valAx>
        <c:axId val="-930020928"/>
        <c:scaling>
          <c:orientation val="minMax"/>
          <c:max val="100"/>
        </c:scaling>
        <c:delete val="0"/>
        <c:axPos val="r"/>
        <c:title>
          <c:tx>
            <c:rich>
              <a:bodyPr rot="0" vert="horz"/>
              <a:lstStyle/>
              <a:p>
                <a:pPr algn="ctr">
                  <a:defRPr sz="1700" b="0" i="0" u="none" strike="noStrike" baseline="0">
                    <a:solidFill>
                      <a:srgbClr val="000000"/>
                    </a:solidFill>
                    <a:latin typeface="ＭＳ ゴシック"/>
                    <a:ea typeface="ＭＳ ゴシック"/>
                    <a:cs typeface="ＭＳ ゴシック"/>
                  </a:defRPr>
                </a:pPr>
                <a:r>
                  <a:rPr lang="ja-JP" altLang="en-US" sz="950" b="0" i="0" u="none" strike="noStrike" baseline="0">
                    <a:solidFill>
                      <a:srgbClr val="000000"/>
                    </a:solidFill>
                    <a:latin typeface="ＭＳ ゴシック"/>
                    <a:ea typeface="ＭＳ ゴシック"/>
                  </a:rPr>
                  <a:t>  %</a:t>
                </a:r>
              </a:p>
            </c:rich>
          </c:tx>
          <c:layout>
            <c:manualLayout>
              <c:xMode val="edge"/>
              <c:yMode val="edge"/>
              <c:x val="0.9265631315736188"/>
              <c:y val="1.6556291390728478E-2"/>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12768"/>
        <c:crosses val="max"/>
        <c:crossBetween val="between"/>
      </c:valAx>
      <c:spPr>
        <a:solidFill>
          <a:srgbClr val="FFFFFF"/>
        </a:solidFill>
        <a:ln w="12700">
          <a:solidFill>
            <a:srgbClr val="000000"/>
          </a:solidFill>
          <a:prstDash val="solid"/>
        </a:ln>
      </c:spPr>
    </c:plotArea>
    <c:legend>
      <c:legendPos val="b"/>
      <c:legendEntry>
        <c:idx val="5"/>
        <c:txPr>
          <a:bodyPr/>
          <a:lstStyle/>
          <a:p>
            <a:pPr>
              <a:defRPr sz="700" b="0" i="0" u="none" strike="noStrike" baseline="0">
                <a:solidFill>
                  <a:srgbClr val="FF0000"/>
                </a:solidFill>
                <a:latin typeface="ＭＳ Ｐゴシック"/>
                <a:ea typeface="ＭＳ Ｐゴシック"/>
                <a:cs typeface="ＭＳ Ｐゴシック"/>
              </a:defRPr>
            </a:pPr>
            <a:endParaRPr lang="ja-JP"/>
          </a:p>
        </c:txPr>
      </c:legendEntry>
      <c:layout>
        <c:manualLayout>
          <c:xMode val="edge"/>
          <c:yMode val="edge"/>
          <c:x val="0.1050000191024157"/>
          <c:y val="0.89649024004449773"/>
          <c:w val="0.80874997612198041"/>
          <c:h val="6.8189671655281558E-2"/>
        </c:manualLayout>
      </c:layout>
      <c:overlay val="0"/>
      <c:spPr>
        <a:solidFill>
          <a:srgbClr val="FFFFFF"/>
        </a:solidFill>
        <a:ln w="3175">
          <a:solidFill>
            <a:srgbClr val="000000"/>
          </a:solidFill>
          <a:prstDash val="solid"/>
        </a:ln>
      </c:spPr>
      <c:txPr>
        <a:bodyPr/>
        <a:lstStyle/>
        <a:p>
          <a:pPr>
            <a:defRPr sz="70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7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7978301463402043E-2"/>
          <c:y val="0.14864864864864866"/>
          <c:w val="0.81182021212533118"/>
          <c:h val="0.7567567567567568"/>
        </c:manualLayout>
      </c:layout>
      <c:lineChart>
        <c:grouping val="standard"/>
        <c:varyColors val="0"/>
        <c:ser>
          <c:idx val="1"/>
          <c:order val="0"/>
          <c:spPr>
            <a:ln w="12700">
              <a:solidFill>
                <a:srgbClr val="FF00FF"/>
              </a:solidFill>
              <a:prstDash val="solid"/>
            </a:ln>
          </c:spPr>
          <c:marker>
            <c:symbol val="triangle"/>
            <c:size val="4"/>
            <c:spPr>
              <a:noFill/>
              <a:ln>
                <a:solidFill>
                  <a:srgbClr val="000000"/>
                </a:solidFill>
                <a:prstDash val="solid"/>
              </a:ln>
            </c:spPr>
          </c:marker>
          <c:cat>
            <c:strRef>
              <c:f>[3]給水!$A$7:$A$62</c:f>
              <c:strCache>
                <c:ptCount val="56"/>
                <c:pt idx="0">
                  <c:v>23743</c:v>
                </c:pt>
                <c:pt idx="1">
                  <c:v>24108</c:v>
                </c:pt>
                <c:pt idx="2">
                  <c:v>24473</c:v>
                </c:pt>
                <c:pt idx="3">
                  <c:v>24838</c:v>
                </c:pt>
                <c:pt idx="4">
                  <c:v>25204</c:v>
                </c:pt>
                <c:pt idx="5">
                  <c:v>25569</c:v>
                </c:pt>
                <c:pt idx="6">
                  <c:v>25934</c:v>
                </c:pt>
                <c:pt idx="7">
                  <c:v>26299</c:v>
                </c:pt>
                <c:pt idx="8">
                  <c:v>26665</c:v>
                </c:pt>
                <c:pt idx="9">
                  <c:v>27030</c:v>
                </c:pt>
                <c:pt idx="10">
                  <c:v>27395</c:v>
                </c:pt>
                <c:pt idx="11">
                  <c:v>27760</c:v>
                </c:pt>
                <c:pt idx="12">
                  <c:v>28126</c:v>
                </c:pt>
                <c:pt idx="13">
                  <c:v>28491</c:v>
                </c:pt>
                <c:pt idx="14">
                  <c:v>28856</c:v>
                </c:pt>
                <c:pt idx="15">
                  <c:v>29221</c:v>
                </c:pt>
                <c:pt idx="16">
                  <c:v>29587</c:v>
                </c:pt>
                <c:pt idx="17">
                  <c:v>29952</c:v>
                </c:pt>
                <c:pt idx="18">
                  <c:v>30317</c:v>
                </c:pt>
                <c:pt idx="19">
                  <c:v>30682</c:v>
                </c:pt>
                <c:pt idx="20">
                  <c:v>31048</c:v>
                </c:pt>
                <c:pt idx="21">
                  <c:v>31413</c:v>
                </c:pt>
                <c:pt idx="22">
                  <c:v>31778</c:v>
                </c:pt>
                <c:pt idx="23">
                  <c:v>32143</c:v>
                </c:pt>
                <c:pt idx="24">
                  <c:v>32509</c:v>
                </c:pt>
                <c:pt idx="25">
                  <c:v>32874</c:v>
                </c:pt>
                <c:pt idx="26">
                  <c:v>33239</c:v>
                </c:pt>
                <c:pt idx="27">
                  <c:v>33604</c:v>
                </c:pt>
                <c:pt idx="28">
                  <c:v>33970</c:v>
                </c:pt>
                <c:pt idx="29">
                  <c:v>34335</c:v>
                </c:pt>
                <c:pt idx="30">
                  <c:v>34700</c:v>
                </c:pt>
                <c:pt idx="31">
                  <c:v>35065</c:v>
                </c:pt>
                <c:pt idx="32">
                  <c:v>35431</c:v>
                </c:pt>
                <c:pt idx="33">
                  <c:v>35796</c:v>
                </c:pt>
                <c:pt idx="34">
                  <c:v>36161</c:v>
                </c:pt>
                <c:pt idx="35">
                  <c:v>36526</c:v>
                </c:pt>
                <c:pt idx="36">
                  <c:v>36892</c:v>
                </c:pt>
                <c:pt idx="37">
                  <c:v>H14</c:v>
                </c:pt>
                <c:pt idx="38">
                  <c:v>H15</c:v>
                </c:pt>
                <c:pt idx="39">
                  <c:v>H16</c:v>
                </c:pt>
                <c:pt idx="40">
                  <c:v>H17</c:v>
                </c:pt>
                <c:pt idx="41">
                  <c:v>H18</c:v>
                </c:pt>
                <c:pt idx="42">
                  <c:v>H19</c:v>
                </c:pt>
                <c:pt idx="43">
                  <c:v>H20</c:v>
                </c:pt>
                <c:pt idx="44">
                  <c:v>H21</c:v>
                </c:pt>
                <c:pt idx="45">
                  <c:v>H22</c:v>
                </c:pt>
                <c:pt idx="46">
                  <c:v>H23</c:v>
                </c:pt>
                <c:pt idx="47">
                  <c:v>H24</c:v>
                </c:pt>
                <c:pt idx="48">
                  <c:v>H25</c:v>
                </c:pt>
                <c:pt idx="49">
                  <c:v>H26</c:v>
                </c:pt>
                <c:pt idx="50">
                  <c:v>H27</c:v>
                </c:pt>
                <c:pt idx="51">
                  <c:v>H28</c:v>
                </c:pt>
                <c:pt idx="52">
                  <c:v>H29</c:v>
                </c:pt>
                <c:pt idx="53">
                  <c:v>H30</c:v>
                </c:pt>
                <c:pt idx="54">
                  <c:v>R元</c:v>
                </c:pt>
                <c:pt idx="55">
                  <c:v>R2</c:v>
                </c:pt>
              </c:strCache>
            </c:strRef>
          </c:cat>
          <c:val>
            <c:numRef>
              <c:f>[3]給水!$B$7:$B$62</c:f>
              <c:numCache>
                <c:formatCode>General</c:formatCode>
                <c:ptCount val="56"/>
                <c:pt idx="0">
                  <c:v>103.60599999999999</c:v>
                </c:pt>
                <c:pt idx="1">
                  <c:v>116.43899999999999</c:v>
                </c:pt>
                <c:pt idx="2">
                  <c:v>128.64400000000001</c:v>
                </c:pt>
                <c:pt idx="3">
                  <c:v>137.714</c:v>
                </c:pt>
                <c:pt idx="4">
                  <c:v>148.78800000000001</c:v>
                </c:pt>
                <c:pt idx="5">
                  <c:v>162.69399999999999</c:v>
                </c:pt>
                <c:pt idx="6">
                  <c:v>180.667</c:v>
                </c:pt>
                <c:pt idx="7">
                  <c:v>184.07599999999999</c:v>
                </c:pt>
                <c:pt idx="8">
                  <c:v>200.119</c:v>
                </c:pt>
                <c:pt idx="9">
                  <c:v>203.61699999999999</c:v>
                </c:pt>
                <c:pt idx="10">
                  <c:v>211.84899999999999</c:v>
                </c:pt>
                <c:pt idx="11">
                  <c:v>215.79900000000001</c:v>
                </c:pt>
                <c:pt idx="12">
                  <c:v>225.25299999999999</c:v>
                </c:pt>
                <c:pt idx="13">
                  <c:v>232.369</c:v>
                </c:pt>
                <c:pt idx="14">
                  <c:v>228.95699999999999</c:v>
                </c:pt>
                <c:pt idx="15">
                  <c:v>228.595</c:v>
                </c:pt>
                <c:pt idx="16">
                  <c:v>238.86799999999999</c:v>
                </c:pt>
                <c:pt idx="17">
                  <c:v>239.666</c:v>
                </c:pt>
                <c:pt idx="18">
                  <c:v>252.01400000000001</c:v>
                </c:pt>
                <c:pt idx="19">
                  <c:v>261.82499999999999</c:v>
                </c:pt>
                <c:pt idx="20">
                  <c:v>261.42599999999999</c:v>
                </c:pt>
                <c:pt idx="21">
                  <c:v>261.48200000000003</c:v>
                </c:pt>
                <c:pt idx="22">
                  <c:v>264.96199999999999</c:v>
                </c:pt>
                <c:pt idx="23">
                  <c:v>266.19900000000001</c:v>
                </c:pt>
                <c:pt idx="24">
                  <c:v>271.93099999999998</c:v>
                </c:pt>
                <c:pt idx="25">
                  <c:v>281.14600000000002</c:v>
                </c:pt>
                <c:pt idx="26">
                  <c:v>281.05500000000001</c:v>
                </c:pt>
                <c:pt idx="27">
                  <c:v>283.39999999999998</c:v>
                </c:pt>
                <c:pt idx="28">
                  <c:v>281.06599999999997</c:v>
                </c:pt>
                <c:pt idx="29">
                  <c:v>291.44400000000002</c:v>
                </c:pt>
                <c:pt idx="30">
                  <c:v>294.61399999999998</c:v>
                </c:pt>
                <c:pt idx="31">
                  <c:v>297.31400000000002</c:v>
                </c:pt>
                <c:pt idx="32">
                  <c:v>297.59800000000001</c:v>
                </c:pt>
                <c:pt idx="33">
                  <c:v>292.28399999999999</c:v>
                </c:pt>
                <c:pt idx="34">
                  <c:v>291.767</c:v>
                </c:pt>
                <c:pt idx="35">
                  <c:v>293</c:v>
                </c:pt>
                <c:pt idx="36">
                  <c:v>289</c:v>
                </c:pt>
                <c:pt idx="37">
                  <c:v>283</c:v>
                </c:pt>
                <c:pt idx="38">
                  <c:v>279</c:v>
                </c:pt>
                <c:pt idx="39">
                  <c:v>280</c:v>
                </c:pt>
                <c:pt idx="40">
                  <c:v>280</c:v>
                </c:pt>
                <c:pt idx="41">
                  <c:v>278</c:v>
                </c:pt>
                <c:pt idx="42">
                  <c:v>275</c:v>
                </c:pt>
                <c:pt idx="43">
                  <c:v>267</c:v>
                </c:pt>
                <c:pt idx="44">
                  <c:v>260</c:v>
                </c:pt>
                <c:pt idx="45">
                  <c:v>263</c:v>
                </c:pt>
                <c:pt idx="46">
                  <c:v>259</c:v>
                </c:pt>
                <c:pt idx="47">
                  <c:v>257</c:v>
                </c:pt>
                <c:pt idx="48">
                  <c:v>257</c:v>
                </c:pt>
                <c:pt idx="49">
                  <c:v>254</c:v>
                </c:pt>
                <c:pt idx="50">
                  <c:v>255</c:v>
                </c:pt>
                <c:pt idx="51">
                  <c:v>255</c:v>
                </c:pt>
                <c:pt idx="52">
                  <c:v>263</c:v>
                </c:pt>
                <c:pt idx="53">
                  <c:v>263</c:v>
                </c:pt>
                <c:pt idx="54">
                  <c:v>260</c:v>
                </c:pt>
                <c:pt idx="55">
                  <c:v>261</c:v>
                </c:pt>
              </c:numCache>
            </c:numRef>
          </c:val>
          <c:smooth val="0"/>
          <c:extLst>
            <c:ext xmlns:c16="http://schemas.microsoft.com/office/drawing/2014/chart" uri="{C3380CC4-5D6E-409C-BE32-E72D297353CC}">
              <c16:uniqueId val="{00000000-6F17-42A6-ADAE-00D1416489F5}"/>
            </c:ext>
          </c:extLst>
        </c:ser>
        <c:ser>
          <c:idx val="0"/>
          <c:order val="1"/>
          <c:spPr>
            <a:ln w="12700">
              <a:solidFill>
                <a:srgbClr val="00FF00"/>
              </a:solidFill>
              <a:prstDash val="solid"/>
            </a:ln>
          </c:spPr>
          <c:marker>
            <c:symbol val="square"/>
            <c:size val="4"/>
            <c:spPr>
              <a:solidFill>
                <a:srgbClr val="000000"/>
              </a:solidFill>
              <a:ln>
                <a:solidFill>
                  <a:srgbClr val="000000"/>
                </a:solidFill>
                <a:prstDash val="solid"/>
              </a:ln>
            </c:spPr>
          </c:marker>
          <c:cat>
            <c:strRef>
              <c:f>[3]給水!$A$7:$A$62</c:f>
              <c:strCache>
                <c:ptCount val="56"/>
                <c:pt idx="0">
                  <c:v>23743</c:v>
                </c:pt>
                <c:pt idx="1">
                  <c:v>24108</c:v>
                </c:pt>
                <c:pt idx="2">
                  <c:v>24473</c:v>
                </c:pt>
                <c:pt idx="3">
                  <c:v>24838</c:v>
                </c:pt>
                <c:pt idx="4">
                  <c:v>25204</c:v>
                </c:pt>
                <c:pt idx="5">
                  <c:v>25569</c:v>
                </c:pt>
                <c:pt idx="6">
                  <c:v>25934</c:v>
                </c:pt>
                <c:pt idx="7">
                  <c:v>26299</c:v>
                </c:pt>
                <c:pt idx="8">
                  <c:v>26665</c:v>
                </c:pt>
                <c:pt idx="9">
                  <c:v>27030</c:v>
                </c:pt>
                <c:pt idx="10">
                  <c:v>27395</c:v>
                </c:pt>
                <c:pt idx="11">
                  <c:v>27760</c:v>
                </c:pt>
                <c:pt idx="12">
                  <c:v>28126</c:v>
                </c:pt>
                <c:pt idx="13">
                  <c:v>28491</c:v>
                </c:pt>
                <c:pt idx="14">
                  <c:v>28856</c:v>
                </c:pt>
                <c:pt idx="15">
                  <c:v>29221</c:v>
                </c:pt>
                <c:pt idx="16">
                  <c:v>29587</c:v>
                </c:pt>
                <c:pt idx="17">
                  <c:v>29952</c:v>
                </c:pt>
                <c:pt idx="18">
                  <c:v>30317</c:v>
                </c:pt>
                <c:pt idx="19">
                  <c:v>30682</c:v>
                </c:pt>
                <c:pt idx="20">
                  <c:v>31048</c:v>
                </c:pt>
                <c:pt idx="21">
                  <c:v>31413</c:v>
                </c:pt>
                <c:pt idx="22">
                  <c:v>31778</c:v>
                </c:pt>
                <c:pt idx="23">
                  <c:v>32143</c:v>
                </c:pt>
                <c:pt idx="24">
                  <c:v>32509</c:v>
                </c:pt>
                <c:pt idx="25">
                  <c:v>32874</c:v>
                </c:pt>
                <c:pt idx="26">
                  <c:v>33239</c:v>
                </c:pt>
                <c:pt idx="27">
                  <c:v>33604</c:v>
                </c:pt>
                <c:pt idx="28">
                  <c:v>33970</c:v>
                </c:pt>
                <c:pt idx="29">
                  <c:v>34335</c:v>
                </c:pt>
                <c:pt idx="30">
                  <c:v>34700</c:v>
                </c:pt>
                <c:pt idx="31">
                  <c:v>35065</c:v>
                </c:pt>
                <c:pt idx="32">
                  <c:v>35431</c:v>
                </c:pt>
                <c:pt idx="33">
                  <c:v>35796</c:v>
                </c:pt>
                <c:pt idx="34">
                  <c:v>36161</c:v>
                </c:pt>
                <c:pt idx="35">
                  <c:v>36526</c:v>
                </c:pt>
                <c:pt idx="36">
                  <c:v>36892</c:v>
                </c:pt>
                <c:pt idx="37">
                  <c:v>H14</c:v>
                </c:pt>
                <c:pt idx="38">
                  <c:v>H15</c:v>
                </c:pt>
                <c:pt idx="39">
                  <c:v>H16</c:v>
                </c:pt>
                <c:pt idx="40">
                  <c:v>H17</c:v>
                </c:pt>
                <c:pt idx="41">
                  <c:v>H18</c:v>
                </c:pt>
                <c:pt idx="42">
                  <c:v>H19</c:v>
                </c:pt>
                <c:pt idx="43">
                  <c:v>H20</c:v>
                </c:pt>
                <c:pt idx="44">
                  <c:v>H21</c:v>
                </c:pt>
                <c:pt idx="45">
                  <c:v>H22</c:v>
                </c:pt>
                <c:pt idx="46">
                  <c:v>H23</c:v>
                </c:pt>
                <c:pt idx="47">
                  <c:v>H24</c:v>
                </c:pt>
                <c:pt idx="48">
                  <c:v>H25</c:v>
                </c:pt>
                <c:pt idx="49">
                  <c:v>H26</c:v>
                </c:pt>
                <c:pt idx="50">
                  <c:v>H27</c:v>
                </c:pt>
                <c:pt idx="51">
                  <c:v>H28</c:v>
                </c:pt>
                <c:pt idx="52">
                  <c:v>H29</c:v>
                </c:pt>
                <c:pt idx="53">
                  <c:v>H30</c:v>
                </c:pt>
                <c:pt idx="54">
                  <c:v>R元</c:v>
                </c:pt>
                <c:pt idx="55">
                  <c:v>R2</c:v>
                </c:pt>
              </c:strCache>
            </c:strRef>
          </c:cat>
          <c:val>
            <c:numRef>
              <c:f>[3]給水!$C$7:$C$62</c:f>
              <c:numCache>
                <c:formatCode>General</c:formatCode>
                <c:ptCount val="56"/>
                <c:pt idx="0">
                  <c:v>23.541134999999997</c:v>
                </c:pt>
                <c:pt idx="1">
                  <c:v>21.584025</c:v>
                </c:pt>
                <c:pt idx="2">
                  <c:v>21.880576000000001</c:v>
                </c:pt>
                <c:pt idx="3">
                  <c:v>22.316675</c:v>
                </c:pt>
                <c:pt idx="4">
                  <c:v>23.539628</c:v>
                </c:pt>
                <c:pt idx="5">
                  <c:v>24.757655</c:v>
                </c:pt>
                <c:pt idx="6">
                  <c:v>24.649947000000001</c:v>
                </c:pt>
                <c:pt idx="7">
                  <c:v>25.618380000000002</c:v>
                </c:pt>
                <c:pt idx="8">
                  <c:v>26.277823999999999</c:v>
                </c:pt>
                <c:pt idx="9">
                  <c:v>26.666478999999999</c:v>
                </c:pt>
                <c:pt idx="10">
                  <c:v>27.780114000000001</c:v>
                </c:pt>
                <c:pt idx="11">
                  <c:v>27.631937000000001</c:v>
                </c:pt>
                <c:pt idx="12">
                  <c:v>26.260283000000001</c:v>
                </c:pt>
                <c:pt idx="13">
                  <c:v>24.508078000000001</c:v>
                </c:pt>
                <c:pt idx="14">
                  <c:v>25.208867999999999</c:v>
                </c:pt>
                <c:pt idx="15">
                  <c:v>25.629007000000001</c:v>
                </c:pt>
                <c:pt idx="16">
                  <c:v>25.674308</c:v>
                </c:pt>
                <c:pt idx="17">
                  <c:v>26.924994999999999</c:v>
                </c:pt>
                <c:pt idx="18">
                  <c:v>30.248832</c:v>
                </c:pt>
                <c:pt idx="19">
                  <c:v>31.816814999999998</c:v>
                </c:pt>
                <c:pt idx="20">
                  <c:v>31.352318</c:v>
                </c:pt>
                <c:pt idx="21">
                  <c:v>33.068407000000001</c:v>
                </c:pt>
                <c:pt idx="22">
                  <c:v>32.903148000000002</c:v>
                </c:pt>
                <c:pt idx="23">
                  <c:v>34.719571999999999</c:v>
                </c:pt>
                <c:pt idx="24">
                  <c:v>33.091499000000006</c:v>
                </c:pt>
                <c:pt idx="25">
                  <c:v>33.728184999999996</c:v>
                </c:pt>
                <c:pt idx="26">
                  <c:v>35.683340999999999</c:v>
                </c:pt>
                <c:pt idx="27">
                  <c:v>37.655875999999999</c:v>
                </c:pt>
                <c:pt idx="28">
                  <c:v>36.868911999999995</c:v>
                </c:pt>
                <c:pt idx="29">
                  <c:v>37.682248000000001</c:v>
                </c:pt>
                <c:pt idx="30">
                  <c:v>38.020116000000002</c:v>
                </c:pt>
                <c:pt idx="31">
                  <c:v>38.528711000000001</c:v>
                </c:pt>
                <c:pt idx="32">
                  <c:v>37.620714</c:v>
                </c:pt>
                <c:pt idx="33">
                  <c:v>36.817197999999998</c:v>
                </c:pt>
                <c:pt idx="34">
                  <c:v>37.501202999999997</c:v>
                </c:pt>
                <c:pt idx="35">
                  <c:v>37</c:v>
                </c:pt>
                <c:pt idx="36">
                  <c:v>36</c:v>
                </c:pt>
                <c:pt idx="37">
                  <c:v>36</c:v>
                </c:pt>
                <c:pt idx="38">
                  <c:v>36</c:v>
                </c:pt>
                <c:pt idx="39">
                  <c:v>34</c:v>
                </c:pt>
                <c:pt idx="40">
                  <c:v>34</c:v>
                </c:pt>
                <c:pt idx="41">
                  <c:v>34</c:v>
                </c:pt>
                <c:pt idx="42">
                  <c:v>34</c:v>
                </c:pt>
                <c:pt idx="43">
                  <c:v>33</c:v>
                </c:pt>
                <c:pt idx="44">
                  <c:v>33</c:v>
                </c:pt>
                <c:pt idx="45">
                  <c:v>32</c:v>
                </c:pt>
                <c:pt idx="46">
                  <c:v>31</c:v>
                </c:pt>
                <c:pt idx="47">
                  <c:v>31</c:v>
                </c:pt>
                <c:pt idx="48">
                  <c:v>31</c:v>
                </c:pt>
                <c:pt idx="49">
                  <c:v>29</c:v>
                </c:pt>
                <c:pt idx="50">
                  <c:v>27</c:v>
                </c:pt>
                <c:pt idx="51">
                  <c:v>26</c:v>
                </c:pt>
                <c:pt idx="52">
                  <c:v>17</c:v>
                </c:pt>
                <c:pt idx="53">
                  <c:v>17</c:v>
                </c:pt>
                <c:pt idx="54">
                  <c:v>17</c:v>
                </c:pt>
                <c:pt idx="55">
                  <c:v>17</c:v>
                </c:pt>
              </c:numCache>
            </c:numRef>
          </c:val>
          <c:smooth val="0"/>
          <c:extLst>
            <c:ext xmlns:c16="http://schemas.microsoft.com/office/drawing/2014/chart" uri="{C3380CC4-5D6E-409C-BE32-E72D297353CC}">
              <c16:uniqueId val="{00000001-6F17-42A6-ADAE-00D1416489F5}"/>
            </c:ext>
          </c:extLst>
        </c:ser>
        <c:dLbls>
          <c:showLegendKey val="0"/>
          <c:showVal val="0"/>
          <c:showCatName val="0"/>
          <c:showSerName val="0"/>
          <c:showPercent val="0"/>
          <c:showBubbleSize val="0"/>
        </c:dLbls>
        <c:marker val="1"/>
        <c:smooth val="0"/>
        <c:axId val="-930025824"/>
        <c:axId val="-930010592"/>
      </c:lineChart>
      <c:catAx>
        <c:axId val="-93002582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10592"/>
        <c:crosses val="autoZero"/>
        <c:auto val="1"/>
        <c:lblAlgn val="ctr"/>
        <c:lblOffset val="100"/>
        <c:tickLblSkip val="5"/>
        <c:tickMarkSkip val="5"/>
        <c:noMultiLvlLbl val="0"/>
      </c:catAx>
      <c:valAx>
        <c:axId val="-930010592"/>
        <c:scaling>
          <c:orientation val="minMax"/>
          <c:max val="400"/>
        </c:scaling>
        <c:delete val="0"/>
        <c:axPos val="l"/>
        <c:majorGridlines>
          <c:spPr>
            <a:ln w="3175">
              <a:solidFill>
                <a:srgbClr val="000000"/>
              </a:solidFill>
              <a:prstDash val="solid"/>
            </a:ln>
          </c:spPr>
        </c:majorGridlines>
        <c:title>
          <c:tx>
            <c:rich>
              <a:bodyPr rot="0" vert="horz"/>
              <a:lstStyle/>
              <a:p>
                <a:pPr algn="ctr">
                  <a:defRPr sz="1100" b="0" i="0" u="none" strike="noStrike" baseline="0">
                    <a:solidFill>
                      <a:srgbClr val="000000"/>
                    </a:solidFill>
                    <a:latin typeface="ＭＳ Ｐゴシック"/>
                    <a:ea typeface="ＭＳ Ｐゴシック"/>
                    <a:cs typeface="ＭＳ Ｐゴシック"/>
                  </a:defRPr>
                </a:pPr>
                <a:r>
                  <a:rPr lang="ja-JP" altLang="en-US" sz="800" b="0" i="0" u="none" strike="noStrike" baseline="0">
                    <a:solidFill>
                      <a:srgbClr val="000000"/>
                    </a:solidFill>
                    <a:latin typeface="ＭＳ Ｐゴシック"/>
                    <a:ea typeface="ＭＳ Ｐゴシック"/>
                  </a:rPr>
                  <a:t>給水量（百万m3）</a:t>
                </a:r>
              </a:p>
            </c:rich>
          </c:tx>
          <c:layout>
            <c:manualLayout>
              <c:xMode val="edge"/>
              <c:yMode val="edge"/>
              <c:x val="2.0217688927212627E-2"/>
              <c:y val="4.3918918918918921E-2"/>
            </c:manualLayout>
          </c:layout>
          <c:overlay val="0"/>
          <c:spPr>
            <a:noFill/>
            <a:ln w="25400">
              <a:noFill/>
            </a:ln>
          </c:spPr>
        </c:title>
        <c:numFmt formatCode="General" sourceLinked="1"/>
        <c:majorTickMark val="in"/>
        <c:minorTickMark val="in"/>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25824"/>
        <c:crosses val="autoZero"/>
        <c:crossBetween val="between"/>
        <c:majorUnit val="100"/>
        <c:minorUnit val="50"/>
      </c:valAx>
      <c:spPr>
        <a:solidFill>
          <a:srgbClr val="FFFFFF"/>
        </a:solidFill>
        <a:ln w="12700">
          <a:solidFill>
            <a:srgbClr val="000000"/>
          </a:solidFill>
          <a:prstDash val="solid"/>
        </a:ln>
      </c:spPr>
    </c:plotArea>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oddHeader>&amp;A</c:oddHeader>
      <c:oddFooter>Page &amp;P</c:oddFooter>
    </c:headerFooter>
    <c:pageMargins b="0.98399999999999999" l="0.78700000000000003" r="0.78700000000000003" t="0.98399999999999999" header="0.5" footer="0.5"/>
    <c:pageSetup paperSize="9" orientation="landscape" horizontalDpi="300" verticalDpi="300"/>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9056749554169543E-2"/>
          <c:y val="2.2950815444445591E-2"/>
          <c:w val="0.75796537302273415"/>
          <c:h val="0.8125"/>
        </c:manualLayout>
      </c:layout>
      <c:barChart>
        <c:barDir val="bar"/>
        <c:grouping val="percentStacked"/>
        <c:varyColors val="0"/>
        <c:ser>
          <c:idx val="2"/>
          <c:order val="0"/>
          <c:tx>
            <c:strRef>
              <c:f>[3]浄水!$B$1:$B$2</c:f>
              <c:strCache>
                <c:ptCount val="1"/>
                <c:pt idx="0">
                  <c:v>消毒のみ</c:v>
                </c:pt>
              </c:strCache>
            </c:strRef>
          </c:tx>
          <c:spPr>
            <a:solidFill>
              <a:srgbClr val="FFFFCC"/>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[3]浄水!$A$3:$A$5</c:f>
              <c:strCache>
                <c:ptCount val="3"/>
                <c:pt idx="0">
                  <c:v>簡易水道</c:v>
                </c:pt>
                <c:pt idx="1">
                  <c:v>上水道</c:v>
                </c:pt>
                <c:pt idx="2">
                  <c:v>用水供給</c:v>
                </c:pt>
              </c:strCache>
            </c:strRef>
          </c:cat>
          <c:val>
            <c:numRef>
              <c:f>[3]浄水!$B$3:$B$5</c:f>
              <c:numCache>
                <c:formatCode>General</c:formatCode>
                <c:ptCount val="3"/>
                <c:pt idx="0">
                  <c:v>64.111879908292494</c:v>
                </c:pt>
                <c:pt idx="1">
                  <c:v>60.443719440884159</c:v>
                </c:pt>
                <c:pt idx="2">
                  <c:v>12.699333720162468</c:v>
                </c:pt>
              </c:numCache>
            </c:numRef>
          </c:val>
          <c:extLst>
            <c:ext xmlns:c16="http://schemas.microsoft.com/office/drawing/2014/chart" uri="{C3380CC4-5D6E-409C-BE32-E72D297353CC}">
              <c16:uniqueId val="{00000000-73F7-4339-B76F-A5429EB8D05F}"/>
            </c:ext>
          </c:extLst>
        </c:ser>
        <c:ser>
          <c:idx val="0"/>
          <c:order val="1"/>
          <c:tx>
            <c:strRef>
              <c:f>[3]浄水!$C$1:$C$2</c:f>
              <c:strCache>
                <c:ptCount val="1"/>
                <c:pt idx="0">
                  <c:v>緩速ろ過</c:v>
                </c:pt>
              </c:strCache>
            </c:strRef>
          </c:tx>
          <c:spPr>
            <a:solidFill>
              <a:srgbClr val="9999FF"/>
            </a:solidFill>
            <a:ln w="12700">
              <a:solidFill>
                <a:srgbClr val="000000"/>
              </a:solidFill>
              <a:prstDash val="solid"/>
            </a:ln>
          </c:spPr>
          <c:invertIfNegative val="0"/>
          <c:dLbls>
            <c:dLbl>
              <c:idx val="1"/>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extLst>
                <c:ext xmlns:c16="http://schemas.microsoft.com/office/drawing/2014/chart" uri="{C3380CC4-5D6E-409C-BE32-E72D297353CC}">
                  <c16:uniqueId val="{00000001-73F7-4339-B76F-A5429EB8D05F}"/>
                </c:ext>
              </c:extLst>
            </c:dLbl>
            <c:dLbl>
              <c:idx val="2"/>
              <c:layout>
                <c:manualLayout>
                  <c:x val="-1.9146324199732646E-3"/>
                  <c:y val="-9.4546483804726397E-2"/>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73F7-4339-B76F-A5429EB8D05F}"/>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[3]浄水!$A$3:$A$5</c:f>
              <c:strCache>
                <c:ptCount val="3"/>
                <c:pt idx="0">
                  <c:v>簡易水道</c:v>
                </c:pt>
                <c:pt idx="1">
                  <c:v>上水道</c:v>
                </c:pt>
                <c:pt idx="2">
                  <c:v>用水供給</c:v>
                </c:pt>
              </c:strCache>
            </c:strRef>
          </c:cat>
          <c:val>
            <c:numRef>
              <c:f>[3]浄水!$C$3:$C$5</c:f>
              <c:numCache>
                <c:formatCode>General</c:formatCode>
                <c:ptCount val="3"/>
                <c:pt idx="0">
                  <c:v>6.2393755246506952</c:v>
                </c:pt>
                <c:pt idx="1">
                  <c:v>9.6572200428960429</c:v>
                </c:pt>
                <c:pt idx="2">
                  <c:v>0</c:v>
                </c:pt>
              </c:numCache>
            </c:numRef>
          </c:val>
          <c:extLst>
            <c:ext xmlns:c16="http://schemas.microsoft.com/office/drawing/2014/chart" uri="{C3380CC4-5D6E-409C-BE32-E72D297353CC}">
              <c16:uniqueId val="{00000003-73F7-4339-B76F-A5429EB8D05F}"/>
            </c:ext>
          </c:extLst>
        </c:ser>
        <c:ser>
          <c:idx val="1"/>
          <c:order val="2"/>
          <c:tx>
            <c:strRef>
              <c:f>[3]浄水!$D$1:$D$2</c:f>
              <c:strCache>
                <c:ptCount val="1"/>
                <c:pt idx="0">
                  <c:v>急速ろ過</c:v>
                </c:pt>
              </c:strCache>
            </c:strRef>
          </c:tx>
          <c:spPr>
            <a:solidFill>
              <a:srgbClr val="993366"/>
            </a:solidFill>
            <a:ln w="12700">
              <a:solidFill>
                <a:srgbClr val="000000"/>
              </a:solidFill>
              <a:prstDash val="solid"/>
            </a:ln>
          </c:spPr>
          <c:invertIfNegative val="0"/>
          <c:dLbls>
            <c:dLbl>
              <c:idx val="0"/>
              <c:spPr>
                <a:noFill/>
                <a:ln w="25400">
                  <a:noFill/>
                </a:ln>
              </c:spPr>
              <c:txPr>
                <a:bodyPr/>
                <a:lstStyle/>
                <a:p>
                  <a:pPr>
                    <a:defRPr sz="800" b="0" i="0" u="none" strike="noStrike" baseline="0">
                      <a:solidFill>
                        <a:srgbClr val="FFFFFF"/>
                      </a:solidFill>
                      <a:latin typeface="ＭＳ Ｐゴシック"/>
                      <a:ea typeface="ＭＳ Ｐゴシック"/>
                      <a:cs typeface="ＭＳ Ｐゴシック"/>
                    </a:defRPr>
                  </a:pPr>
                  <a:endParaRPr lang="ja-JP"/>
                </a:p>
              </c:txPr>
              <c:showLegendKey val="0"/>
              <c:showVal val="1"/>
              <c:showCatName val="0"/>
              <c:showSerName val="0"/>
              <c:showPercent val="0"/>
              <c:showBubbleSize val="0"/>
              <c:extLst>
                <c:ext xmlns:c16="http://schemas.microsoft.com/office/drawing/2014/chart" uri="{C3380CC4-5D6E-409C-BE32-E72D297353CC}">
                  <c16:uniqueId val="{00000004-73F7-4339-B76F-A5429EB8D05F}"/>
                </c:ext>
              </c:extLst>
            </c:dLbl>
            <c:dLbl>
              <c:idx val="1"/>
              <c:layout>
                <c:manualLayout>
                  <c:x val="9.6518595552914379E-4"/>
                  <c:y val="-6.4370985884828914E-3"/>
                </c:manualLayout>
              </c:layout>
              <c:spPr>
                <a:noFill/>
                <a:ln w="25400">
                  <a:noFill/>
                </a:ln>
              </c:spPr>
              <c:txPr>
                <a:bodyPr/>
                <a:lstStyle/>
                <a:p>
                  <a:pPr>
                    <a:defRPr sz="800" b="0" i="0" u="none" strike="noStrike" baseline="0">
                      <a:solidFill>
                        <a:srgbClr val="FFFFFF"/>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73F7-4339-B76F-A5429EB8D05F}"/>
                </c:ext>
              </c:extLst>
            </c:dLbl>
            <c:dLbl>
              <c:idx val="2"/>
              <c:layout>
                <c:manualLayout>
                  <c:x val="-2.9109097211905115E-3"/>
                  <c:y val="-2.6488624405820241E-3"/>
                </c:manualLayout>
              </c:layout>
              <c:spPr>
                <a:noFill/>
                <a:ln w="25400">
                  <a:noFill/>
                </a:ln>
              </c:spPr>
              <c:txPr>
                <a:bodyPr/>
                <a:lstStyle/>
                <a:p>
                  <a:pPr>
                    <a:defRPr sz="800" b="0" i="0" u="none" strike="noStrike" baseline="0">
                      <a:solidFill>
                        <a:srgbClr val="FFFFFF"/>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73F7-4339-B76F-A5429EB8D05F}"/>
                </c:ext>
              </c:extLst>
            </c:dLbl>
            <c:dLbl>
              <c:idx val="3"/>
              <c:layout>
                <c:manualLayout>
                  <c:xMode val="edge"/>
                  <c:yMode val="edge"/>
                  <c:x val="0.49528377936409712"/>
                  <c:y val="9.0909090909090912E-2"/>
                </c:manualLayout>
              </c:layout>
              <c:spPr>
                <a:noFill/>
                <a:ln w="25400">
                  <a:noFill/>
                </a:ln>
              </c:spPr>
              <c:txPr>
                <a:bodyPr/>
                <a:lstStyle/>
                <a:p>
                  <a:pPr>
                    <a:defRPr sz="800" b="0" i="0" u="none" strike="noStrike" baseline="0">
                      <a:solidFill>
                        <a:srgbClr val="FFFFFF"/>
                      </a:solidFill>
                      <a:latin typeface="ＭＳ ゴシック"/>
                      <a:ea typeface="ＭＳ ゴシック"/>
                      <a:cs typeface="ＭＳ 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73F7-4339-B76F-A5429EB8D05F}"/>
                </c:ext>
              </c:extLst>
            </c:dLbl>
            <c:spPr>
              <a:noFill/>
              <a:ln w="25400">
                <a:noFill/>
              </a:ln>
            </c:spPr>
            <c:txPr>
              <a:bodyPr wrap="square" lIns="38100" tIns="19050" rIns="38100" bIns="19050" anchor="ctr">
                <a:spAutoFit/>
              </a:bodyPr>
              <a:lstStyle/>
              <a:p>
                <a:pPr>
                  <a:defRPr sz="800" b="0" i="0" u="none" strike="noStrike" baseline="0">
                    <a:solidFill>
                      <a:srgbClr val="FFFFFF"/>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[3]浄水!$A$3:$A$5</c:f>
              <c:strCache>
                <c:ptCount val="3"/>
                <c:pt idx="0">
                  <c:v>簡易水道</c:v>
                </c:pt>
                <c:pt idx="1">
                  <c:v>上水道</c:v>
                </c:pt>
                <c:pt idx="2">
                  <c:v>用水供給</c:v>
                </c:pt>
              </c:strCache>
            </c:strRef>
          </c:cat>
          <c:val>
            <c:numRef>
              <c:f>[3]浄水!$D$3:$D$5</c:f>
              <c:numCache>
                <c:formatCode>General</c:formatCode>
                <c:ptCount val="3"/>
                <c:pt idx="0">
                  <c:v>21.866437079203852</c:v>
                </c:pt>
                <c:pt idx="1">
                  <c:v>28.016209008169234</c:v>
                </c:pt>
                <c:pt idx="2">
                  <c:v>87.300666279837529</c:v>
                </c:pt>
              </c:numCache>
            </c:numRef>
          </c:val>
          <c:extLst>
            <c:ext xmlns:c16="http://schemas.microsoft.com/office/drawing/2014/chart" uri="{C3380CC4-5D6E-409C-BE32-E72D297353CC}">
              <c16:uniqueId val="{00000008-73F7-4339-B76F-A5429EB8D05F}"/>
            </c:ext>
          </c:extLst>
        </c:ser>
        <c:ser>
          <c:idx val="3"/>
          <c:order val="3"/>
          <c:tx>
            <c:strRef>
              <c:f>[3]浄水!$E$1:$E$2</c:f>
              <c:strCache>
                <c:ptCount val="1"/>
                <c:pt idx="0">
                  <c:v>膜ろ過</c:v>
                </c:pt>
              </c:strCache>
            </c:strRef>
          </c:tx>
          <c:spPr>
            <a:solidFill>
              <a:srgbClr val="CCFFFF"/>
            </a:solidFill>
            <a:ln w="12700">
              <a:solidFill>
                <a:srgbClr val="000000"/>
              </a:solidFill>
              <a:prstDash val="solid"/>
            </a:ln>
          </c:spPr>
          <c:invertIfNegative val="0"/>
          <c:dLbls>
            <c:dLbl>
              <c:idx val="0"/>
              <c:layout>
                <c:manualLayout>
                  <c:x val="2.1017184172733125E-3"/>
                  <c:y val="-3.9950512793830283E-3"/>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73F7-4339-B76F-A5429EB8D05F}"/>
                </c:ext>
              </c:extLst>
            </c:dLbl>
            <c:dLbl>
              <c:idx val="1"/>
              <c:layout>
                <c:manualLayout>
                  <c:x val="2.2782618213099191E-3"/>
                  <c:y val="-0.10740254123177111"/>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73F7-4339-B76F-A5429EB8D05F}"/>
                </c:ext>
              </c:extLst>
            </c:dLbl>
            <c:dLbl>
              <c:idx val="2"/>
              <c:layout>
                <c:manualLayout>
                  <c:x val="2.0964360587002098E-3"/>
                  <c:y val="-0.12334801762114538"/>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73F7-4339-B76F-A5429EB8D05F}"/>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[3]浄水!$A$3:$A$5</c:f>
              <c:strCache>
                <c:ptCount val="3"/>
                <c:pt idx="0">
                  <c:v>簡易水道</c:v>
                </c:pt>
                <c:pt idx="1">
                  <c:v>上水道</c:v>
                </c:pt>
                <c:pt idx="2">
                  <c:v>用水供給</c:v>
                </c:pt>
              </c:strCache>
            </c:strRef>
          </c:cat>
          <c:val>
            <c:numRef>
              <c:f>[3]浄水!$E$3:$E$5</c:f>
              <c:numCache>
                <c:formatCode>General</c:formatCode>
                <c:ptCount val="3"/>
                <c:pt idx="0">
                  <c:v>7.7823074878529619</c:v>
                </c:pt>
                <c:pt idx="1">
                  <c:v>1.8828515080505603</c:v>
                </c:pt>
                <c:pt idx="2">
                  <c:v>0</c:v>
                </c:pt>
              </c:numCache>
            </c:numRef>
          </c:val>
          <c:extLst>
            <c:ext xmlns:c16="http://schemas.microsoft.com/office/drawing/2014/chart" uri="{C3380CC4-5D6E-409C-BE32-E72D297353CC}">
              <c16:uniqueId val="{0000000C-73F7-4339-B76F-A5429EB8D05F}"/>
            </c:ext>
          </c:extLst>
        </c:ser>
        <c:dLbls>
          <c:showLegendKey val="0"/>
          <c:showVal val="0"/>
          <c:showCatName val="0"/>
          <c:showSerName val="0"/>
          <c:showPercent val="0"/>
          <c:showBubbleSize val="0"/>
        </c:dLbls>
        <c:gapWidth val="120"/>
        <c:overlap val="100"/>
        <c:axId val="-930016576"/>
        <c:axId val="-930012224"/>
      </c:barChart>
      <c:catAx>
        <c:axId val="-930016576"/>
        <c:scaling>
          <c:orientation val="minMax"/>
        </c:scaling>
        <c:delete val="0"/>
        <c:axPos val="l"/>
        <c:numFmt formatCode="General" sourceLinked="1"/>
        <c:majorTickMark val="none"/>
        <c:minorTickMark val="none"/>
        <c:tickLblPos val="nextTo"/>
        <c:spPr>
          <a:ln w="3175">
            <a:solidFill>
              <a:srgbClr val="000000"/>
            </a:solidFill>
            <a:prstDash val="solid"/>
          </a:ln>
        </c:spPr>
        <c:txPr>
          <a:bodyPr rot="0" vert="horz"/>
          <a:lstStyle/>
          <a:p>
            <a:pPr>
              <a:defRPr sz="700" b="0" i="0" u="none" strike="noStrike" baseline="0">
                <a:solidFill>
                  <a:srgbClr val="000000"/>
                </a:solidFill>
                <a:latin typeface="ＭＳ Ｐゴシック"/>
                <a:ea typeface="ＭＳ Ｐゴシック"/>
                <a:cs typeface="ＭＳ Ｐゴシック"/>
              </a:defRPr>
            </a:pPr>
            <a:endParaRPr lang="ja-JP"/>
          </a:p>
        </c:txPr>
        <c:crossAx val="-930012224"/>
        <c:crosses val="autoZero"/>
        <c:auto val="1"/>
        <c:lblAlgn val="ctr"/>
        <c:lblOffset val="150"/>
        <c:tickLblSkip val="1"/>
        <c:tickMarkSkip val="1"/>
        <c:noMultiLvlLbl val="0"/>
      </c:catAx>
      <c:valAx>
        <c:axId val="-930012224"/>
        <c:scaling>
          <c:orientation val="minMax"/>
        </c:scaling>
        <c:delete val="0"/>
        <c:axPos val="b"/>
        <c:numFmt formatCode="0%"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16576"/>
        <c:crosses val="autoZero"/>
        <c:crossBetween val="between"/>
      </c:valAx>
      <c:spPr>
        <a:noFill/>
        <a:ln w="25400">
          <a:noFill/>
        </a:ln>
      </c:spPr>
    </c:plotArea>
    <c:plotVisOnly val="1"/>
    <c:dispBlanksAs val="gap"/>
    <c:showDLblsOverMax val="0"/>
  </c:chart>
  <c:spPr>
    <a:solidFill>
      <a:srgbClr val="FFFFFF"/>
    </a:solidFill>
    <a:ln w="9525">
      <a:noFill/>
    </a:ln>
  </c:spPr>
  <c:txPr>
    <a:bodyPr/>
    <a:lstStyle/>
    <a:p>
      <a:pPr>
        <a:defRPr sz="975"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128526645768025"/>
          <c:y val="0.13402106831597776"/>
          <c:w val="0.80877742946708464"/>
          <c:h val="0.63574096508861244"/>
        </c:manualLayout>
      </c:layout>
      <c:lineChart>
        <c:grouping val="standard"/>
        <c:varyColors val="0"/>
        <c:ser>
          <c:idx val="2"/>
          <c:order val="0"/>
          <c:tx>
            <c:strRef>
              <c:f>[3]数・人口!$E$2</c:f>
              <c:strCache>
                <c:ptCount val="1"/>
                <c:pt idx="0">
                  <c:v>計</c:v>
                </c:pt>
              </c:strCache>
            </c:strRef>
          </c:tx>
          <c:spPr>
            <a:ln w="12700">
              <a:solidFill>
                <a:srgbClr val="00CCFF"/>
              </a:solidFill>
              <a:prstDash val="solid"/>
            </a:ln>
          </c:spPr>
          <c:marker>
            <c:symbol val="circle"/>
            <c:size val="4"/>
            <c:spPr>
              <a:solidFill>
                <a:srgbClr val="000000"/>
              </a:solidFill>
              <a:ln>
                <a:solidFill>
                  <a:srgbClr val="000000"/>
                </a:solidFill>
                <a:prstDash val="solid"/>
              </a:ln>
            </c:spPr>
          </c:marker>
          <c:cat>
            <c:strRef>
              <c:f>[3]数・人口!$A$3:$A$52</c:f>
              <c:strCache>
                <c:ptCount val="50"/>
                <c:pt idx="0">
                  <c:v>25934</c:v>
                </c:pt>
                <c:pt idx="1">
                  <c:v>26299</c:v>
                </c:pt>
                <c:pt idx="2">
                  <c:v>26665</c:v>
                </c:pt>
                <c:pt idx="3">
                  <c:v>27030</c:v>
                </c:pt>
                <c:pt idx="4">
                  <c:v>27395</c:v>
                </c:pt>
                <c:pt idx="5">
                  <c:v>27760</c:v>
                </c:pt>
                <c:pt idx="6">
                  <c:v>28126</c:v>
                </c:pt>
                <c:pt idx="7">
                  <c:v>28491</c:v>
                </c:pt>
                <c:pt idx="8">
                  <c:v>28856</c:v>
                </c:pt>
                <c:pt idx="9">
                  <c:v>29221</c:v>
                </c:pt>
                <c:pt idx="10">
                  <c:v>29587</c:v>
                </c:pt>
                <c:pt idx="11">
                  <c:v>29952</c:v>
                </c:pt>
                <c:pt idx="12">
                  <c:v>30317</c:v>
                </c:pt>
                <c:pt idx="13">
                  <c:v>30682</c:v>
                </c:pt>
                <c:pt idx="14">
                  <c:v>31048</c:v>
                </c:pt>
                <c:pt idx="15">
                  <c:v>31413</c:v>
                </c:pt>
                <c:pt idx="16">
                  <c:v>31778</c:v>
                </c:pt>
                <c:pt idx="17">
                  <c:v>32143</c:v>
                </c:pt>
                <c:pt idx="18">
                  <c:v>32509</c:v>
                </c:pt>
                <c:pt idx="19">
                  <c:v>32874</c:v>
                </c:pt>
                <c:pt idx="20">
                  <c:v>33239</c:v>
                </c:pt>
                <c:pt idx="21">
                  <c:v>33604</c:v>
                </c:pt>
                <c:pt idx="22">
                  <c:v>33970</c:v>
                </c:pt>
                <c:pt idx="23">
                  <c:v>34335</c:v>
                </c:pt>
                <c:pt idx="24">
                  <c:v>34700</c:v>
                </c:pt>
                <c:pt idx="25">
                  <c:v>35065</c:v>
                </c:pt>
                <c:pt idx="26">
                  <c:v>35431</c:v>
                </c:pt>
                <c:pt idx="27">
                  <c:v>35796</c:v>
                </c:pt>
                <c:pt idx="28">
                  <c:v>36161</c:v>
                </c:pt>
                <c:pt idx="29">
                  <c:v>36526</c:v>
                </c:pt>
                <c:pt idx="30">
                  <c:v>36892</c:v>
                </c:pt>
                <c:pt idx="31">
                  <c:v>H14</c:v>
                </c:pt>
                <c:pt idx="32">
                  <c:v>H15</c:v>
                </c:pt>
                <c:pt idx="33">
                  <c:v>H16</c:v>
                </c:pt>
                <c:pt idx="34">
                  <c:v>H17</c:v>
                </c:pt>
                <c:pt idx="35">
                  <c:v>H18</c:v>
                </c:pt>
                <c:pt idx="36">
                  <c:v>H19</c:v>
                </c:pt>
                <c:pt idx="37">
                  <c:v>H20</c:v>
                </c:pt>
                <c:pt idx="38">
                  <c:v>H21</c:v>
                </c:pt>
                <c:pt idx="39">
                  <c:v>H22</c:v>
                </c:pt>
                <c:pt idx="40">
                  <c:v>H23</c:v>
                </c:pt>
                <c:pt idx="41">
                  <c:v>H24</c:v>
                </c:pt>
                <c:pt idx="42">
                  <c:v>H25</c:v>
                </c:pt>
                <c:pt idx="43">
                  <c:v>H26</c:v>
                </c:pt>
                <c:pt idx="44">
                  <c:v>H27</c:v>
                </c:pt>
                <c:pt idx="45">
                  <c:v>H28</c:v>
                </c:pt>
                <c:pt idx="46">
                  <c:v>H29</c:v>
                </c:pt>
                <c:pt idx="47">
                  <c:v>H30</c:v>
                </c:pt>
                <c:pt idx="48">
                  <c:v>R元</c:v>
                </c:pt>
                <c:pt idx="49">
                  <c:v>R2</c:v>
                </c:pt>
              </c:strCache>
            </c:strRef>
          </c:cat>
          <c:val>
            <c:numRef>
              <c:f>[3]数・人口!$E$3:$E$52</c:f>
              <c:numCache>
                <c:formatCode>General</c:formatCode>
                <c:ptCount val="50"/>
                <c:pt idx="0">
                  <c:v>781</c:v>
                </c:pt>
                <c:pt idx="1">
                  <c:v>757</c:v>
                </c:pt>
                <c:pt idx="2">
                  <c:v>743</c:v>
                </c:pt>
                <c:pt idx="3">
                  <c:v>738</c:v>
                </c:pt>
                <c:pt idx="4">
                  <c:v>723</c:v>
                </c:pt>
                <c:pt idx="5">
                  <c:v>714</c:v>
                </c:pt>
                <c:pt idx="6">
                  <c:v>690</c:v>
                </c:pt>
                <c:pt idx="7">
                  <c:v>654</c:v>
                </c:pt>
                <c:pt idx="8">
                  <c:v>637</c:v>
                </c:pt>
                <c:pt idx="9">
                  <c:v>628</c:v>
                </c:pt>
                <c:pt idx="10">
                  <c:v>609</c:v>
                </c:pt>
                <c:pt idx="11">
                  <c:v>610</c:v>
                </c:pt>
                <c:pt idx="12">
                  <c:v>593</c:v>
                </c:pt>
                <c:pt idx="13">
                  <c:v>567</c:v>
                </c:pt>
                <c:pt idx="14">
                  <c:v>571</c:v>
                </c:pt>
                <c:pt idx="15">
                  <c:v>573</c:v>
                </c:pt>
                <c:pt idx="16">
                  <c:v>568</c:v>
                </c:pt>
                <c:pt idx="17">
                  <c:v>565</c:v>
                </c:pt>
                <c:pt idx="18">
                  <c:v>551</c:v>
                </c:pt>
                <c:pt idx="19">
                  <c:v>544</c:v>
                </c:pt>
                <c:pt idx="20">
                  <c:v>541</c:v>
                </c:pt>
                <c:pt idx="21">
                  <c:v>541</c:v>
                </c:pt>
                <c:pt idx="22">
                  <c:v>530</c:v>
                </c:pt>
                <c:pt idx="23">
                  <c:v>521</c:v>
                </c:pt>
                <c:pt idx="24">
                  <c:v>515</c:v>
                </c:pt>
                <c:pt idx="25">
                  <c:v>511</c:v>
                </c:pt>
                <c:pt idx="26">
                  <c:v>502</c:v>
                </c:pt>
                <c:pt idx="27">
                  <c:v>490</c:v>
                </c:pt>
                <c:pt idx="28">
                  <c:v>479</c:v>
                </c:pt>
                <c:pt idx="29">
                  <c:v>467</c:v>
                </c:pt>
                <c:pt idx="30">
                  <c:v>460</c:v>
                </c:pt>
                <c:pt idx="31">
                  <c:v>467</c:v>
                </c:pt>
                <c:pt idx="32">
                  <c:v>468</c:v>
                </c:pt>
                <c:pt idx="33">
                  <c:v>455</c:v>
                </c:pt>
                <c:pt idx="34">
                  <c:v>450</c:v>
                </c:pt>
                <c:pt idx="35">
                  <c:v>455</c:v>
                </c:pt>
                <c:pt idx="36">
                  <c:v>436</c:v>
                </c:pt>
                <c:pt idx="37">
                  <c:v>432</c:v>
                </c:pt>
                <c:pt idx="38">
                  <c:v>414</c:v>
                </c:pt>
                <c:pt idx="39">
                  <c:v>411</c:v>
                </c:pt>
                <c:pt idx="40">
                  <c:v>396</c:v>
                </c:pt>
                <c:pt idx="41">
                  <c:v>400</c:v>
                </c:pt>
                <c:pt idx="42">
                  <c:v>377</c:v>
                </c:pt>
                <c:pt idx="43">
                  <c:v>369</c:v>
                </c:pt>
                <c:pt idx="44">
                  <c:v>350</c:v>
                </c:pt>
                <c:pt idx="45">
                  <c:v>342</c:v>
                </c:pt>
                <c:pt idx="46">
                  <c:v>258</c:v>
                </c:pt>
                <c:pt idx="47">
                  <c:v>255</c:v>
                </c:pt>
                <c:pt idx="48">
                  <c:v>254</c:v>
                </c:pt>
                <c:pt idx="49">
                  <c:v>254</c:v>
                </c:pt>
              </c:numCache>
            </c:numRef>
          </c:val>
          <c:smooth val="0"/>
          <c:extLst>
            <c:ext xmlns:c16="http://schemas.microsoft.com/office/drawing/2014/chart" uri="{C3380CC4-5D6E-409C-BE32-E72D297353CC}">
              <c16:uniqueId val="{00000000-BB8F-470E-BD09-96A33D3AFAE4}"/>
            </c:ext>
          </c:extLst>
        </c:ser>
        <c:ser>
          <c:idx val="0"/>
          <c:order val="2"/>
          <c:tx>
            <c:strRef>
              <c:f>[3]数・人口!$C$2</c:f>
              <c:strCache>
                <c:ptCount val="1"/>
                <c:pt idx="0">
                  <c:v>簡水</c:v>
                </c:pt>
              </c:strCache>
            </c:strRef>
          </c:tx>
          <c:spPr>
            <a:ln w="12700">
              <a:solidFill>
                <a:srgbClr val="00FF00"/>
              </a:solidFill>
              <a:prstDash val="solid"/>
            </a:ln>
          </c:spPr>
          <c:marker>
            <c:symbol val="square"/>
            <c:size val="4"/>
            <c:spPr>
              <a:solidFill>
                <a:srgbClr val="000000"/>
              </a:solidFill>
              <a:ln>
                <a:solidFill>
                  <a:srgbClr val="000000"/>
                </a:solidFill>
                <a:prstDash val="solid"/>
              </a:ln>
            </c:spPr>
          </c:marker>
          <c:cat>
            <c:strRef>
              <c:f>[3]数・人口!$A$3:$A$52</c:f>
              <c:strCache>
                <c:ptCount val="50"/>
                <c:pt idx="0">
                  <c:v>25934</c:v>
                </c:pt>
                <c:pt idx="1">
                  <c:v>26299</c:v>
                </c:pt>
                <c:pt idx="2">
                  <c:v>26665</c:v>
                </c:pt>
                <c:pt idx="3">
                  <c:v>27030</c:v>
                </c:pt>
                <c:pt idx="4">
                  <c:v>27395</c:v>
                </c:pt>
                <c:pt idx="5">
                  <c:v>27760</c:v>
                </c:pt>
                <c:pt idx="6">
                  <c:v>28126</c:v>
                </c:pt>
                <c:pt idx="7">
                  <c:v>28491</c:v>
                </c:pt>
                <c:pt idx="8">
                  <c:v>28856</c:v>
                </c:pt>
                <c:pt idx="9">
                  <c:v>29221</c:v>
                </c:pt>
                <c:pt idx="10">
                  <c:v>29587</c:v>
                </c:pt>
                <c:pt idx="11">
                  <c:v>29952</c:v>
                </c:pt>
                <c:pt idx="12">
                  <c:v>30317</c:v>
                </c:pt>
                <c:pt idx="13">
                  <c:v>30682</c:v>
                </c:pt>
                <c:pt idx="14">
                  <c:v>31048</c:v>
                </c:pt>
                <c:pt idx="15">
                  <c:v>31413</c:v>
                </c:pt>
                <c:pt idx="16">
                  <c:v>31778</c:v>
                </c:pt>
                <c:pt idx="17">
                  <c:v>32143</c:v>
                </c:pt>
                <c:pt idx="18">
                  <c:v>32509</c:v>
                </c:pt>
                <c:pt idx="19">
                  <c:v>32874</c:v>
                </c:pt>
                <c:pt idx="20">
                  <c:v>33239</c:v>
                </c:pt>
                <c:pt idx="21">
                  <c:v>33604</c:v>
                </c:pt>
                <c:pt idx="22">
                  <c:v>33970</c:v>
                </c:pt>
                <c:pt idx="23">
                  <c:v>34335</c:v>
                </c:pt>
                <c:pt idx="24">
                  <c:v>34700</c:v>
                </c:pt>
                <c:pt idx="25">
                  <c:v>35065</c:v>
                </c:pt>
                <c:pt idx="26">
                  <c:v>35431</c:v>
                </c:pt>
                <c:pt idx="27">
                  <c:v>35796</c:v>
                </c:pt>
                <c:pt idx="28">
                  <c:v>36161</c:v>
                </c:pt>
                <c:pt idx="29">
                  <c:v>36526</c:v>
                </c:pt>
                <c:pt idx="30">
                  <c:v>36892</c:v>
                </c:pt>
                <c:pt idx="31">
                  <c:v>H14</c:v>
                </c:pt>
                <c:pt idx="32">
                  <c:v>H15</c:v>
                </c:pt>
                <c:pt idx="33">
                  <c:v>H16</c:v>
                </c:pt>
                <c:pt idx="34">
                  <c:v>H17</c:v>
                </c:pt>
                <c:pt idx="35">
                  <c:v>H18</c:v>
                </c:pt>
                <c:pt idx="36">
                  <c:v>H19</c:v>
                </c:pt>
                <c:pt idx="37">
                  <c:v>H20</c:v>
                </c:pt>
                <c:pt idx="38">
                  <c:v>H21</c:v>
                </c:pt>
                <c:pt idx="39">
                  <c:v>H22</c:v>
                </c:pt>
                <c:pt idx="40">
                  <c:v>H23</c:v>
                </c:pt>
                <c:pt idx="41">
                  <c:v>H24</c:v>
                </c:pt>
                <c:pt idx="42">
                  <c:v>H25</c:v>
                </c:pt>
                <c:pt idx="43">
                  <c:v>H26</c:v>
                </c:pt>
                <c:pt idx="44">
                  <c:v>H27</c:v>
                </c:pt>
                <c:pt idx="45">
                  <c:v>H28</c:v>
                </c:pt>
                <c:pt idx="46">
                  <c:v>H29</c:v>
                </c:pt>
                <c:pt idx="47">
                  <c:v>H30</c:v>
                </c:pt>
                <c:pt idx="48">
                  <c:v>R元</c:v>
                </c:pt>
                <c:pt idx="49">
                  <c:v>R2</c:v>
                </c:pt>
              </c:strCache>
            </c:strRef>
          </c:cat>
          <c:val>
            <c:numRef>
              <c:f>[3]数・人口!$C$3:$C$52</c:f>
              <c:numCache>
                <c:formatCode>General</c:formatCode>
                <c:ptCount val="50"/>
                <c:pt idx="0">
                  <c:v>657</c:v>
                </c:pt>
                <c:pt idx="1">
                  <c:v>632</c:v>
                </c:pt>
                <c:pt idx="2">
                  <c:v>617</c:v>
                </c:pt>
                <c:pt idx="3">
                  <c:v>609</c:v>
                </c:pt>
                <c:pt idx="4">
                  <c:v>598</c:v>
                </c:pt>
                <c:pt idx="5">
                  <c:v>588</c:v>
                </c:pt>
                <c:pt idx="6">
                  <c:v>566</c:v>
                </c:pt>
                <c:pt idx="7">
                  <c:v>532</c:v>
                </c:pt>
                <c:pt idx="8">
                  <c:v>519</c:v>
                </c:pt>
                <c:pt idx="9">
                  <c:v>510</c:v>
                </c:pt>
                <c:pt idx="10">
                  <c:v>496</c:v>
                </c:pt>
                <c:pt idx="11">
                  <c:v>499</c:v>
                </c:pt>
                <c:pt idx="12">
                  <c:v>483</c:v>
                </c:pt>
                <c:pt idx="13">
                  <c:v>481</c:v>
                </c:pt>
                <c:pt idx="14">
                  <c:v>487</c:v>
                </c:pt>
                <c:pt idx="15">
                  <c:v>488</c:v>
                </c:pt>
                <c:pt idx="16">
                  <c:v>484</c:v>
                </c:pt>
                <c:pt idx="17">
                  <c:v>481</c:v>
                </c:pt>
                <c:pt idx="18">
                  <c:v>467</c:v>
                </c:pt>
                <c:pt idx="19">
                  <c:v>458</c:v>
                </c:pt>
                <c:pt idx="20">
                  <c:v>457</c:v>
                </c:pt>
                <c:pt idx="21">
                  <c:v>458</c:v>
                </c:pt>
                <c:pt idx="22">
                  <c:v>451</c:v>
                </c:pt>
                <c:pt idx="23">
                  <c:v>442</c:v>
                </c:pt>
                <c:pt idx="24">
                  <c:v>435</c:v>
                </c:pt>
                <c:pt idx="25">
                  <c:v>433</c:v>
                </c:pt>
                <c:pt idx="26">
                  <c:v>419</c:v>
                </c:pt>
                <c:pt idx="27">
                  <c:v>408</c:v>
                </c:pt>
                <c:pt idx="28">
                  <c:v>398</c:v>
                </c:pt>
                <c:pt idx="29">
                  <c:v>387</c:v>
                </c:pt>
                <c:pt idx="30">
                  <c:v>379</c:v>
                </c:pt>
                <c:pt idx="31">
                  <c:v>369</c:v>
                </c:pt>
                <c:pt idx="32">
                  <c:v>362</c:v>
                </c:pt>
                <c:pt idx="33">
                  <c:v>346</c:v>
                </c:pt>
                <c:pt idx="34">
                  <c:v>339</c:v>
                </c:pt>
                <c:pt idx="35">
                  <c:v>335</c:v>
                </c:pt>
                <c:pt idx="36">
                  <c:v>317</c:v>
                </c:pt>
                <c:pt idx="37">
                  <c:v>310</c:v>
                </c:pt>
                <c:pt idx="38">
                  <c:v>291</c:v>
                </c:pt>
                <c:pt idx="39">
                  <c:v>288</c:v>
                </c:pt>
                <c:pt idx="40">
                  <c:v>270</c:v>
                </c:pt>
                <c:pt idx="41">
                  <c:v>267</c:v>
                </c:pt>
                <c:pt idx="42">
                  <c:v>254</c:v>
                </c:pt>
                <c:pt idx="43">
                  <c:v>241</c:v>
                </c:pt>
                <c:pt idx="44">
                  <c:v>222</c:v>
                </c:pt>
                <c:pt idx="45">
                  <c:v>216</c:v>
                </c:pt>
                <c:pt idx="46">
                  <c:v>131</c:v>
                </c:pt>
                <c:pt idx="47">
                  <c:v>126</c:v>
                </c:pt>
                <c:pt idx="48">
                  <c:v>124</c:v>
                </c:pt>
                <c:pt idx="49">
                  <c:v>124</c:v>
                </c:pt>
              </c:numCache>
            </c:numRef>
          </c:val>
          <c:smooth val="0"/>
          <c:extLst>
            <c:ext xmlns:c16="http://schemas.microsoft.com/office/drawing/2014/chart" uri="{C3380CC4-5D6E-409C-BE32-E72D297353CC}">
              <c16:uniqueId val="{00000001-BB8F-470E-BD09-96A33D3AFAE4}"/>
            </c:ext>
          </c:extLst>
        </c:ser>
        <c:dLbls>
          <c:showLegendKey val="0"/>
          <c:showVal val="0"/>
          <c:showCatName val="0"/>
          <c:showSerName val="0"/>
          <c:showPercent val="0"/>
          <c:showBubbleSize val="0"/>
        </c:dLbls>
        <c:marker val="1"/>
        <c:smooth val="0"/>
        <c:axId val="-930011136"/>
        <c:axId val="-930014400"/>
      </c:lineChart>
      <c:lineChart>
        <c:grouping val="standard"/>
        <c:varyColors val="0"/>
        <c:ser>
          <c:idx val="3"/>
          <c:order val="1"/>
          <c:tx>
            <c:strRef>
              <c:f>[3]数・人口!$B$2</c:f>
              <c:strCache>
                <c:ptCount val="1"/>
                <c:pt idx="0">
                  <c:v>上水</c:v>
                </c:pt>
              </c:strCache>
            </c:strRef>
          </c:tx>
          <c:spPr>
            <a:ln w="12700">
              <a:solidFill>
                <a:srgbClr val="FF00FF"/>
              </a:solidFill>
              <a:prstDash val="solid"/>
            </a:ln>
          </c:spPr>
          <c:marker>
            <c:symbol val="triangle"/>
            <c:size val="4"/>
            <c:spPr>
              <a:noFill/>
              <a:ln>
                <a:solidFill>
                  <a:srgbClr val="000000"/>
                </a:solidFill>
                <a:prstDash val="solid"/>
              </a:ln>
            </c:spPr>
          </c:marker>
          <c:cat>
            <c:strRef>
              <c:f>[3]数・人口!$A$3:$A$52</c:f>
              <c:strCache>
                <c:ptCount val="50"/>
                <c:pt idx="0">
                  <c:v>25934</c:v>
                </c:pt>
                <c:pt idx="1">
                  <c:v>26299</c:v>
                </c:pt>
                <c:pt idx="2">
                  <c:v>26665</c:v>
                </c:pt>
                <c:pt idx="3">
                  <c:v>27030</c:v>
                </c:pt>
                <c:pt idx="4">
                  <c:v>27395</c:v>
                </c:pt>
                <c:pt idx="5">
                  <c:v>27760</c:v>
                </c:pt>
                <c:pt idx="6">
                  <c:v>28126</c:v>
                </c:pt>
                <c:pt idx="7">
                  <c:v>28491</c:v>
                </c:pt>
                <c:pt idx="8">
                  <c:v>28856</c:v>
                </c:pt>
                <c:pt idx="9">
                  <c:v>29221</c:v>
                </c:pt>
                <c:pt idx="10">
                  <c:v>29587</c:v>
                </c:pt>
                <c:pt idx="11">
                  <c:v>29952</c:v>
                </c:pt>
                <c:pt idx="12">
                  <c:v>30317</c:v>
                </c:pt>
                <c:pt idx="13">
                  <c:v>30682</c:v>
                </c:pt>
                <c:pt idx="14">
                  <c:v>31048</c:v>
                </c:pt>
                <c:pt idx="15">
                  <c:v>31413</c:v>
                </c:pt>
                <c:pt idx="16">
                  <c:v>31778</c:v>
                </c:pt>
                <c:pt idx="17">
                  <c:v>32143</c:v>
                </c:pt>
                <c:pt idx="18">
                  <c:v>32509</c:v>
                </c:pt>
                <c:pt idx="19">
                  <c:v>32874</c:v>
                </c:pt>
                <c:pt idx="20">
                  <c:v>33239</c:v>
                </c:pt>
                <c:pt idx="21">
                  <c:v>33604</c:v>
                </c:pt>
                <c:pt idx="22">
                  <c:v>33970</c:v>
                </c:pt>
                <c:pt idx="23">
                  <c:v>34335</c:v>
                </c:pt>
                <c:pt idx="24">
                  <c:v>34700</c:v>
                </c:pt>
                <c:pt idx="25">
                  <c:v>35065</c:v>
                </c:pt>
                <c:pt idx="26">
                  <c:v>35431</c:v>
                </c:pt>
                <c:pt idx="27">
                  <c:v>35796</c:v>
                </c:pt>
                <c:pt idx="28">
                  <c:v>36161</c:v>
                </c:pt>
                <c:pt idx="29">
                  <c:v>36526</c:v>
                </c:pt>
                <c:pt idx="30">
                  <c:v>36892</c:v>
                </c:pt>
                <c:pt idx="31">
                  <c:v>H14</c:v>
                </c:pt>
                <c:pt idx="32">
                  <c:v>H15</c:v>
                </c:pt>
                <c:pt idx="33">
                  <c:v>H16</c:v>
                </c:pt>
                <c:pt idx="34">
                  <c:v>H17</c:v>
                </c:pt>
                <c:pt idx="35">
                  <c:v>H18</c:v>
                </c:pt>
                <c:pt idx="36">
                  <c:v>H19</c:v>
                </c:pt>
                <c:pt idx="37">
                  <c:v>H20</c:v>
                </c:pt>
                <c:pt idx="38">
                  <c:v>H21</c:v>
                </c:pt>
                <c:pt idx="39">
                  <c:v>H22</c:v>
                </c:pt>
                <c:pt idx="40">
                  <c:v>H23</c:v>
                </c:pt>
                <c:pt idx="41">
                  <c:v>H24</c:v>
                </c:pt>
                <c:pt idx="42">
                  <c:v>H25</c:v>
                </c:pt>
                <c:pt idx="43">
                  <c:v>H26</c:v>
                </c:pt>
                <c:pt idx="44">
                  <c:v>H27</c:v>
                </c:pt>
                <c:pt idx="45">
                  <c:v>H28</c:v>
                </c:pt>
                <c:pt idx="46">
                  <c:v>H29</c:v>
                </c:pt>
                <c:pt idx="47">
                  <c:v>H30</c:v>
                </c:pt>
                <c:pt idx="48">
                  <c:v>R元</c:v>
                </c:pt>
                <c:pt idx="49">
                  <c:v>R2</c:v>
                </c:pt>
              </c:strCache>
            </c:strRef>
          </c:cat>
          <c:val>
            <c:numRef>
              <c:f>[3]数・人口!$B$3:$B$52</c:f>
              <c:numCache>
                <c:formatCode>General</c:formatCode>
                <c:ptCount val="50"/>
                <c:pt idx="0">
                  <c:v>71</c:v>
                </c:pt>
                <c:pt idx="1">
                  <c:v>69</c:v>
                </c:pt>
                <c:pt idx="2">
                  <c:v>68</c:v>
                </c:pt>
                <c:pt idx="3">
                  <c:v>68</c:v>
                </c:pt>
                <c:pt idx="4">
                  <c:v>68</c:v>
                </c:pt>
                <c:pt idx="5">
                  <c:v>69</c:v>
                </c:pt>
                <c:pt idx="6">
                  <c:v>69</c:v>
                </c:pt>
                <c:pt idx="7">
                  <c:v>67</c:v>
                </c:pt>
                <c:pt idx="8">
                  <c:v>68</c:v>
                </c:pt>
                <c:pt idx="9">
                  <c:v>69</c:v>
                </c:pt>
                <c:pt idx="10">
                  <c:v>69</c:v>
                </c:pt>
                <c:pt idx="11">
                  <c:v>69</c:v>
                </c:pt>
                <c:pt idx="12">
                  <c:v>69</c:v>
                </c:pt>
                <c:pt idx="13">
                  <c:v>69</c:v>
                </c:pt>
                <c:pt idx="14">
                  <c:v>70</c:v>
                </c:pt>
                <c:pt idx="15">
                  <c:v>70</c:v>
                </c:pt>
                <c:pt idx="16">
                  <c:v>70</c:v>
                </c:pt>
                <c:pt idx="17">
                  <c:v>70</c:v>
                </c:pt>
                <c:pt idx="18">
                  <c:v>70</c:v>
                </c:pt>
                <c:pt idx="19">
                  <c:v>70</c:v>
                </c:pt>
                <c:pt idx="20">
                  <c:v>70</c:v>
                </c:pt>
                <c:pt idx="21">
                  <c:v>69</c:v>
                </c:pt>
                <c:pt idx="22">
                  <c:v>69</c:v>
                </c:pt>
                <c:pt idx="23">
                  <c:v>69</c:v>
                </c:pt>
                <c:pt idx="24">
                  <c:v>69</c:v>
                </c:pt>
                <c:pt idx="25">
                  <c:v>69</c:v>
                </c:pt>
                <c:pt idx="26">
                  <c:v>69</c:v>
                </c:pt>
                <c:pt idx="27">
                  <c:v>69</c:v>
                </c:pt>
                <c:pt idx="28">
                  <c:v>69</c:v>
                </c:pt>
                <c:pt idx="29">
                  <c:v>69</c:v>
                </c:pt>
                <c:pt idx="30">
                  <c:v>69</c:v>
                </c:pt>
                <c:pt idx="31">
                  <c:v>69</c:v>
                </c:pt>
                <c:pt idx="32">
                  <c:v>69</c:v>
                </c:pt>
                <c:pt idx="33">
                  <c:v>68</c:v>
                </c:pt>
                <c:pt idx="34">
                  <c:v>67</c:v>
                </c:pt>
                <c:pt idx="35">
                  <c:v>67</c:v>
                </c:pt>
                <c:pt idx="36">
                  <c:v>66</c:v>
                </c:pt>
                <c:pt idx="37">
                  <c:v>66</c:v>
                </c:pt>
                <c:pt idx="38">
                  <c:v>66</c:v>
                </c:pt>
                <c:pt idx="39">
                  <c:v>66</c:v>
                </c:pt>
                <c:pt idx="40">
                  <c:v>66</c:v>
                </c:pt>
                <c:pt idx="41">
                  <c:v>64</c:v>
                </c:pt>
                <c:pt idx="42">
                  <c:v>64</c:v>
                </c:pt>
                <c:pt idx="43">
                  <c:v>65</c:v>
                </c:pt>
                <c:pt idx="44">
                  <c:v>65</c:v>
                </c:pt>
                <c:pt idx="45">
                  <c:v>62</c:v>
                </c:pt>
                <c:pt idx="46">
                  <c:v>61</c:v>
                </c:pt>
                <c:pt idx="47">
                  <c:v>61</c:v>
                </c:pt>
                <c:pt idx="48">
                  <c:v>61</c:v>
                </c:pt>
                <c:pt idx="49">
                  <c:v>61</c:v>
                </c:pt>
              </c:numCache>
            </c:numRef>
          </c:val>
          <c:smooth val="0"/>
          <c:extLst>
            <c:ext xmlns:c16="http://schemas.microsoft.com/office/drawing/2014/chart" uri="{C3380CC4-5D6E-409C-BE32-E72D297353CC}">
              <c16:uniqueId val="{00000002-BB8F-470E-BD09-96A33D3AFAE4}"/>
            </c:ext>
          </c:extLst>
        </c:ser>
        <c:ser>
          <c:idx val="1"/>
          <c:order val="3"/>
          <c:tx>
            <c:strRef>
              <c:f>[3]数・人口!$D$2</c:f>
              <c:strCache>
                <c:ptCount val="1"/>
                <c:pt idx="0">
                  <c:v>専用</c:v>
                </c:pt>
              </c:strCache>
            </c:strRef>
          </c:tx>
          <c:spPr>
            <a:ln w="12700">
              <a:solidFill>
                <a:srgbClr val="FF6600"/>
              </a:solidFill>
              <a:prstDash val="solid"/>
            </a:ln>
          </c:spPr>
          <c:marker>
            <c:symbol val="x"/>
            <c:size val="4"/>
            <c:spPr>
              <a:noFill/>
              <a:ln>
                <a:solidFill>
                  <a:srgbClr val="000000"/>
                </a:solidFill>
                <a:prstDash val="solid"/>
              </a:ln>
            </c:spPr>
          </c:marker>
          <c:cat>
            <c:strRef>
              <c:f>[3]数・人口!$A$3:$A$52</c:f>
              <c:strCache>
                <c:ptCount val="50"/>
                <c:pt idx="0">
                  <c:v>25934</c:v>
                </c:pt>
                <c:pt idx="1">
                  <c:v>26299</c:v>
                </c:pt>
                <c:pt idx="2">
                  <c:v>26665</c:v>
                </c:pt>
                <c:pt idx="3">
                  <c:v>27030</c:v>
                </c:pt>
                <c:pt idx="4">
                  <c:v>27395</c:v>
                </c:pt>
                <c:pt idx="5">
                  <c:v>27760</c:v>
                </c:pt>
                <c:pt idx="6">
                  <c:v>28126</c:v>
                </c:pt>
                <c:pt idx="7">
                  <c:v>28491</c:v>
                </c:pt>
                <c:pt idx="8">
                  <c:v>28856</c:v>
                </c:pt>
                <c:pt idx="9">
                  <c:v>29221</c:v>
                </c:pt>
                <c:pt idx="10">
                  <c:v>29587</c:v>
                </c:pt>
                <c:pt idx="11">
                  <c:v>29952</c:v>
                </c:pt>
                <c:pt idx="12">
                  <c:v>30317</c:v>
                </c:pt>
                <c:pt idx="13">
                  <c:v>30682</c:v>
                </c:pt>
                <c:pt idx="14">
                  <c:v>31048</c:v>
                </c:pt>
                <c:pt idx="15">
                  <c:v>31413</c:v>
                </c:pt>
                <c:pt idx="16">
                  <c:v>31778</c:v>
                </c:pt>
                <c:pt idx="17">
                  <c:v>32143</c:v>
                </c:pt>
                <c:pt idx="18">
                  <c:v>32509</c:v>
                </c:pt>
                <c:pt idx="19">
                  <c:v>32874</c:v>
                </c:pt>
                <c:pt idx="20">
                  <c:v>33239</c:v>
                </c:pt>
                <c:pt idx="21">
                  <c:v>33604</c:v>
                </c:pt>
                <c:pt idx="22">
                  <c:v>33970</c:v>
                </c:pt>
                <c:pt idx="23">
                  <c:v>34335</c:v>
                </c:pt>
                <c:pt idx="24">
                  <c:v>34700</c:v>
                </c:pt>
                <c:pt idx="25">
                  <c:v>35065</c:v>
                </c:pt>
                <c:pt idx="26">
                  <c:v>35431</c:v>
                </c:pt>
                <c:pt idx="27">
                  <c:v>35796</c:v>
                </c:pt>
                <c:pt idx="28">
                  <c:v>36161</c:v>
                </c:pt>
                <c:pt idx="29">
                  <c:v>36526</c:v>
                </c:pt>
                <c:pt idx="30">
                  <c:v>36892</c:v>
                </c:pt>
                <c:pt idx="31">
                  <c:v>H14</c:v>
                </c:pt>
                <c:pt idx="32">
                  <c:v>H15</c:v>
                </c:pt>
                <c:pt idx="33">
                  <c:v>H16</c:v>
                </c:pt>
                <c:pt idx="34">
                  <c:v>H17</c:v>
                </c:pt>
                <c:pt idx="35">
                  <c:v>H18</c:v>
                </c:pt>
                <c:pt idx="36">
                  <c:v>H19</c:v>
                </c:pt>
                <c:pt idx="37">
                  <c:v>H20</c:v>
                </c:pt>
                <c:pt idx="38">
                  <c:v>H21</c:v>
                </c:pt>
                <c:pt idx="39">
                  <c:v>H22</c:v>
                </c:pt>
                <c:pt idx="40">
                  <c:v>H23</c:v>
                </c:pt>
                <c:pt idx="41">
                  <c:v>H24</c:v>
                </c:pt>
                <c:pt idx="42">
                  <c:v>H25</c:v>
                </c:pt>
                <c:pt idx="43">
                  <c:v>H26</c:v>
                </c:pt>
                <c:pt idx="44">
                  <c:v>H27</c:v>
                </c:pt>
                <c:pt idx="45">
                  <c:v>H28</c:v>
                </c:pt>
                <c:pt idx="46">
                  <c:v>H29</c:v>
                </c:pt>
                <c:pt idx="47">
                  <c:v>H30</c:v>
                </c:pt>
                <c:pt idx="48">
                  <c:v>R元</c:v>
                </c:pt>
                <c:pt idx="49">
                  <c:v>R2</c:v>
                </c:pt>
              </c:strCache>
            </c:strRef>
          </c:cat>
          <c:val>
            <c:numRef>
              <c:f>[3]数・人口!$D$3:$D$52</c:f>
              <c:numCache>
                <c:formatCode>General</c:formatCode>
                <c:ptCount val="50"/>
                <c:pt idx="0">
                  <c:v>53</c:v>
                </c:pt>
                <c:pt idx="1">
                  <c:v>56</c:v>
                </c:pt>
                <c:pt idx="2">
                  <c:v>58</c:v>
                </c:pt>
                <c:pt idx="3">
                  <c:v>61</c:v>
                </c:pt>
                <c:pt idx="4">
                  <c:v>57</c:v>
                </c:pt>
                <c:pt idx="5">
                  <c:v>57</c:v>
                </c:pt>
                <c:pt idx="6">
                  <c:v>55</c:v>
                </c:pt>
                <c:pt idx="7">
                  <c:v>55</c:v>
                </c:pt>
                <c:pt idx="8">
                  <c:v>50</c:v>
                </c:pt>
                <c:pt idx="9">
                  <c:v>49</c:v>
                </c:pt>
                <c:pt idx="10">
                  <c:v>44</c:v>
                </c:pt>
                <c:pt idx="11">
                  <c:v>42</c:v>
                </c:pt>
                <c:pt idx="12">
                  <c:v>41</c:v>
                </c:pt>
                <c:pt idx="13">
                  <c:v>17</c:v>
                </c:pt>
                <c:pt idx="14">
                  <c:v>14</c:v>
                </c:pt>
                <c:pt idx="15">
                  <c:v>15</c:v>
                </c:pt>
                <c:pt idx="16">
                  <c:v>14</c:v>
                </c:pt>
                <c:pt idx="17">
                  <c:v>14</c:v>
                </c:pt>
                <c:pt idx="18">
                  <c:v>14</c:v>
                </c:pt>
                <c:pt idx="19">
                  <c:v>16</c:v>
                </c:pt>
                <c:pt idx="20">
                  <c:v>14</c:v>
                </c:pt>
                <c:pt idx="21">
                  <c:v>14</c:v>
                </c:pt>
                <c:pt idx="22">
                  <c:v>10</c:v>
                </c:pt>
                <c:pt idx="23">
                  <c:v>10</c:v>
                </c:pt>
                <c:pt idx="24">
                  <c:v>11</c:v>
                </c:pt>
                <c:pt idx="25">
                  <c:v>9</c:v>
                </c:pt>
                <c:pt idx="26">
                  <c:v>14</c:v>
                </c:pt>
                <c:pt idx="27">
                  <c:v>13</c:v>
                </c:pt>
                <c:pt idx="28">
                  <c:v>12</c:v>
                </c:pt>
                <c:pt idx="29">
                  <c:v>11</c:v>
                </c:pt>
                <c:pt idx="30">
                  <c:v>12</c:v>
                </c:pt>
                <c:pt idx="31">
                  <c:v>29</c:v>
                </c:pt>
                <c:pt idx="32">
                  <c:v>37</c:v>
                </c:pt>
                <c:pt idx="33">
                  <c:v>41</c:v>
                </c:pt>
                <c:pt idx="34">
                  <c:v>44</c:v>
                </c:pt>
                <c:pt idx="35">
                  <c:v>53</c:v>
                </c:pt>
                <c:pt idx="36">
                  <c:v>53</c:v>
                </c:pt>
                <c:pt idx="37">
                  <c:v>56</c:v>
                </c:pt>
                <c:pt idx="38">
                  <c:v>57</c:v>
                </c:pt>
                <c:pt idx="39">
                  <c:v>57</c:v>
                </c:pt>
                <c:pt idx="40">
                  <c:v>60</c:v>
                </c:pt>
                <c:pt idx="41">
                  <c:v>69</c:v>
                </c:pt>
                <c:pt idx="42">
                  <c:v>59</c:v>
                </c:pt>
                <c:pt idx="43">
                  <c:v>63</c:v>
                </c:pt>
                <c:pt idx="44">
                  <c:v>63</c:v>
                </c:pt>
                <c:pt idx="45">
                  <c:v>64</c:v>
                </c:pt>
                <c:pt idx="46">
                  <c:v>66</c:v>
                </c:pt>
                <c:pt idx="47">
                  <c:v>68</c:v>
                </c:pt>
                <c:pt idx="48">
                  <c:v>69</c:v>
                </c:pt>
                <c:pt idx="49">
                  <c:v>69</c:v>
                </c:pt>
              </c:numCache>
            </c:numRef>
          </c:val>
          <c:smooth val="0"/>
          <c:extLst>
            <c:ext xmlns:c16="http://schemas.microsoft.com/office/drawing/2014/chart" uri="{C3380CC4-5D6E-409C-BE32-E72D297353CC}">
              <c16:uniqueId val="{00000003-BB8F-470E-BD09-96A33D3AFAE4}"/>
            </c:ext>
          </c:extLst>
        </c:ser>
        <c:dLbls>
          <c:showLegendKey val="0"/>
          <c:showVal val="0"/>
          <c:showCatName val="0"/>
          <c:showSerName val="0"/>
          <c:showPercent val="0"/>
          <c:showBubbleSize val="0"/>
        </c:dLbls>
        <c:marker val="1"/>
        <c:smooth val="0"/>
        <c:axId val="-930024736"/>
        <c:axId val="-930014944"/>
      </c:lineChart>
      <c:catAx>
        <c:axId val="-93001113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14400"/>
        <c:crosses val="autoZero"/>
        <c:auto val="0"/>
        <c:lblAlgn val="ctr"/>
        <c:lblOffset val="100"/>
        <c:tickLblSkip val="5"/>
        <c:tickMarkSkip val="1"/>
        <c:noMultiLvlLbl val="0"/>
      </c:catAx>
      <c:valAx>
        <c:axId val="-930014400"/>
        <c:scaling>
          <c:orientation val="minMax"/>
          <c:max val="1000"/>
        </c:scaling>
        <c:delete val="0"/>
        <c:axPos val="l"/>
        <c:title>
          <c:tx>
            <c:rich>
              <a:bodyPr rot="0" vert="horz"/>
              <a:lstStyle/>
              <a:p>
                <a:pPr algn="ctr">
                  <a:defRPr sz="800" b="0" i="0" u="none" strike="noStrike" baseline="0">
                    <a:solidFill>
                      <a:srgbClr val="000000"/>
                    </a:solidFill>
                    <a:latin typeface="ＭＳ Ｐゴシック"/>
                    <a:ea typeface="ＭＳ Ｐゴシック"/>
                    <a:cs typeface="ＭＳ Ｐゴシック"/>
                  </a:defRPr>
                </a:pPr>
                <a:r>
                  <a:rPr lang="ja-JP" altLang="en-US"/>
                  <a:t>合計・簡易水道</a:t>
                </a:r>
              </a:p>
            </c:rich>
          </c:tx>
          <c:layout>
            <c:manualLayout>
              <c:xMode val="edge"/>
              <c:yMode val="edge"/>
              <c:x val="9.4043201496364689E-3"/>
              <c:y val="4.4673539518900345E-2"/>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11136"/>
        <c:crosses val="autoZero"/>
        <c:crossBetween val="between"/>
      </c:valAx>
      <c:catAx>
        <c:axId val="-930024736"/>
        <c:scaling>
          <c:orientation val="minMax"/>
        </c:scaling>
        <c:delete val="1"/>
        <c:axPos val="b"/>
        <c:numFmt formatCode="General" sourceLinked="1"/>
        <c:majorTickMark val="out"/>
        <c:minorTickMark val="none"/>
        <c:tickLblPos val="nextTo"/>
        <c:crossAx val="-930014944"/>
        <c:crosses val="autoZero"/>
        <c:auto val="0"/>
        <c:lblAlgn val="ctr"/>
        <c:lblOffset val="100"/>
        <c:noMultiLvlLbl val="0"/>
      </c:catAx>
      <c:valAx>
        <c:axId val="-930014944"/>
        <c:scaling>
          <c:orientation val="minMax"/>
          <c:max val="300"/>
        </c:scaling>
        <c:delete val="0"/>
        <c:axPos val="r"/>
        <c:title>
          <c:tx>
            <c:rich>
              <a:bodyPr rot="0" vert="horz"/>
              <a:lstStyle/>
              <a:p>
                <a:pPr algn="ctr">
                  <a:defRPr sz="800" b="0" i="0" u="none" strike="noStrike" baseline="0">
                    <a:solidFill>
                      <a:srgbClr val="000000"/>
                    </a:solidFill>
                    <a:latin typeface="ＭＳ Ｐゴシック"/>
                    <a:ea typeface="ＭＳ Ｐゴシック"/>
                    <a:cs typeface="ＭＳ Ｐゴシック"/>
                  </a:defRPr>
                </a:pPr>
                <a:r>
                  <a:rPr lang="ja-JP" altLang="en-US"/>
                  <a:t>上水道・専用水道</a:t>
                </a:r>
              </a:p>
            </c:rich>
          </c:tx>
          <c:layout>
            <c:manualLayout>
              <c:xMode val="edge"/>
              <c:yMode val="edge"/>
              <c:x val="0.85736673002081631"/>
              <c:y val="4.8109965635738834E-2"/>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24736"/>
        <c:crosses val="max"/>
        <c:crossBetween val="between"/>
      </c:valAx>
      <c:spPr>
        <a:solidFill>
          <a:srgbClr val="FFFFFF"/>
        </a:solidFill>
        <a:ln w="12700">
          <a:solidFill>
            <a:srgbClr val="000000"/>
          </a:solidFill>
          <a:prstDash val="solid"/>
        </a:ln>
      </c:spPr>
    </c:plotArea>
    <c:legend>
      <c:legendPos val="b"/>
      <c:layout>
        <c:manualLayout>
          <c:xMode val="edge"/>
          <c:yMode val="edge"/>
          <c:x val="0.31510966301626087"/>
          <c:y val="0.91167681359417696"/>
          <c:w val="0.39485896159531775"/>
          <c:h val="6.0831777471115123E-2"/>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oddHeader>&amp;A</c:oddHeader>
      <c:oddFooter>Page &amp;P</c:oddFooter>
    </c:headerFooter>
    <c:pageMargins b="0.98399999999999999" l="0.78700000000000003" r="0.78700000000000003" t="0.98399999999999999" header="0.5" footer="0.5"/>
    <c:pageSetup paperSize="9" orientation="landscape" horizontalDpi="300" verticalDpi="300"/>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499735029146795"/>
          <c:y val="5.5147189335146056E-2"/>
          <c:w val="0.74244833068362481"/>
          <c:h val="0.7720588235294118"/>
        </c:manualLayout>
      </c:layout>
      <c:barChart>
        <c:barDir val="bar"/>
        <c:grouping val="percentStacked"/>
        <c:varyColors val="0"/>
        <c:ser>
          <c:idx val="0"/>
          <c:order val="0"/>
          <c:tx>
            <c:strRef>
              <c:f>[3]取水!$A$3</c:f>
              <c:strCache>
                <c:ptCount val="1"/>
                <c:pt idx="0">
                  <c:v>ダム</c:v>
                </c:pt>
              </c:strCache>
            </c:strRef>
          </c:tx>
          <c:spPr>
            <a:solidFill>
              <a:srgbClr val="9999FF"/>
            </a:solidFill>
            <a:ln w="12700">
              <a:solidFill>
                <a:srgbClr val="000000"/>
              </a:solidFill>
              <a:prstDash val="solid"/>
            </a:ln>
          </c:spPr>
          <c:invertIfNegative val="0"/>
          <c:dLbls>
            <c:dLbl>
              <c:idx val="0"/>
              <c:tx>
                <c:rich>
                  <a:bodyPr/>
                  <a:lstStyle/>
                  <a:p>
                    <a:pPr>
                      <a:defRPr sz="800" b="0" i="0" u="none" strike="noStrike" baseline="0">
                        <a:solidFill>
                          <a:srgbClr val="000000"/>
                        </a:solidFill>
                        <a:latin typeface="ＭＳ Ｐゴシック"/>
                        <a:ea typeface="ＭＳ Ｐゴシック"/>
                        <a:cs typeface="ＭＳ Ｐゴシック"/>
                      </a:defRPr>
                    </a:pPr>
                    <a:r>
                      <a:rPr lang="ja-JP" altLang="en-US"/>
                      <a:t>ダム</a:t>
                    </a:r>
                  </a:p>
                </c:rich>
              </c:tx>
              <c:spPr>
                <a:noFill/>
                <a:ln w="25400">
                  <a:noFill/>
                </a:ln>
              </c:spP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20E4-44E4-9CAE-9C9E029908CB}"/>
                </c:ext>
              </c:extLst>
            </c:dLbl>
            <c:dLbl>
              <c:idx val="2"/>
              <c:layout>
                <c:manualLayout>
                  <c:x val="1.283846080175907E-2"/>
                  <c:y val="-7.6225661336739747E-2"/>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0E4-44E4-9CAE-9C9E029908CB}"/>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[3]取水!$B$2:$F$2</c:f>
              <c:strCache>
                <c:ptCount val="5"/>
                <c:pt idx="0">
                  <c:v>(凡　例)</c:v>
                </c:pt>
                <c:pt idx="1">
                  <c:v>合　計 </c:v>
                </c:pt>
                <c:pt idx="2">
                  <c:v>簡易水道</c:v>
                </c:pt>
                <c:pt idx="3">
                  <c:v>上 水 道</c:v>
                </c:pt>
                <c:pt idx="4">
                  <c:v>用水供給</c:v>
                </c:pt>
              </c:strCache>
            </c:strRef>
          </c:cat>
          <c:val>
            <c:numRef>
              <c:f>[3]取水!$B$3:$F$3</c:f>
              <c:numCache>
                <c:formatCode>General</c:formatCode>
                <c:ptCount val="5"/>
                <c:pt idx="0">
                  <c:v>12.5</c:v>
                </c:pt>
                <c:pt idx="1">
                  <c:v>25.1</c:v>
                </c:pt>
                <c:pt idx="2">
                  <c:v>0.62</c:v>
                </c:pt>
                <c:pt idx="3">
                  <c:v>12.27</c:v>
                </c:pt>
                <c:pt idx="4">
                  <c:v>86.88</c:v>
                </c:pt>
              </c:numCache>
            </c:numRef>
          </c:val>
          <c:extLst>
            <c:ext xmlns:c16="http://schemas.microsoft.com/office/drawing/2014/chart" uri="{C3380CC4-5D6E-409C-BE32-E72D297353CC}">
              <c16:uniqueId val="{00000002-20E4-44E4-9CAE-9C9E029908CB}"/>
            </c:ext>
          </c:extLst>
        </c:ser>
        <c:ser>
          <c:idx val="1"/>
          <c:order val="1"/>
          <c:tx>
            <c:strRef>
              <c:f>[3]取水!$A$4</c:f>
              <c:strCache>
                <c:ptCount val="1"/>
                <c:pt idx="0">
                  <c:v>湖沼</c:v>
                </c:pt>
              </c:strCache>
            </c:strRef>
          </c:tx>
          <c:spPr>
            <a:solidFill>
              <a:srgbClr val="993366"/>
            </a:solidFill>
            <a:ln w="12700">
              <a:solidFill>
                <a:srgbClr val="000000"/>
              </a:solidFill>
              <a:prstDash val="solid"/>
            </a:ln>
          </c:spPr>
          <c:invertIfNegative val="0"/>
          <c:dLbls>
            <c:dLbl>
              <c:idx val="0"/>
              <c:layout>
                <c:manualLayout>
                  <c:x val="1.6557548748378402E-4"/>
                  <c:y val="-2.450980392156854E-4"/>
                </c:manualLayout>
              </c:layout>
              <c:tx>
                <c:rich>
                  <a:bodyPr/>
                  <a:lstStyle/>
                  <a:p>
                    <a:pPr>
                      <a:defRPr sz="800" b="0" i="0" u="none" strike="noStrike" baseline="0">
                        <a:solidFill>
                          <a:srgbClr val="FFFFFF"/>
                        </a:solidFill>
                        <a:latin typeface="ＭＳ Ｐゴシック"/>
                        <a:ea typeface="ＭＳ Ｐゴシック"/>
                        <a:cs typeface="ＭＳ Ｐゴシック"/>
                      </a:defRPr>
                    </a:pPr>
                    <a:r>
                      <a:rPr lang="ja-JP" altLang="en-US"/>
                      <a:t>湖沼</a:t>
                    </a:r>
                  </a:p>
                </c:rich>
              </c:tx>
              <c:spPr>
                <a:noFill/>
                <a:ln w="25400">
                  <a:noFill/>
                </a:ln>
              </c:spPr>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3-20E4-44E4-9CAE-9C9E029908CB}"/>
                </c:ext>
              </c:extLst>
            </c:dLbl>
            <c:dLbl>
              <c:idx val="1"/>
              <c:layout>
                <c:manualLayout>
                  <c:x val="1.9490171041815461E-3"/>
                  <c:y val="-7.3774509803921529E-2"/>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20E4-44E4-9CAE-9C9E029908CB}"/>
                </c:ext>
              </c:extLst>
            </c:dLbl>
            <c:dLbl>
              <c:idx val="2"/>
              <c:layout>
                <c:manualLayout>
                  <c:x val="1.4761693032801509E-2"/>
                  <c:y val="-5.1882522089967001E-3"/>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20E4-44E4-9CAE-9C9E029908CB}"/>
                </c:ext>
              </c:extLst>
            </c:dLbl>
            <c:dLbl>
              <c:idx val="3"/>
              <c:layout>
                <c:manualLayout>
                  <c:x val="3.5597060701275645E-3"/>
                  <c:y val="-7.377450980392157E-2"/>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20E4-44E4-9CAE-9C9E029908CB}"/>
                </c:ext>
              </c:extLst>
            </c:dLbl>
            <c:dLbl>
              <c:idx val="4"/>
              <c:delete val="1"/>
              <c:extLst>
                <c:ext xmlns:c15="http://schemas.microsoft.com/office/drawing/2012/chart" uri="{CE6537A1-D6FC-4f65-9D91-7224C49458BB}"/>
                <c:ext xmlns:c16="http://schemas.microsoft.com/office/drawing/2014/chart" uri="{C3380CC4-5D6E-409C-BE32-E72D297353CC}">
                  <c16:uniqueId val="{00000007-20E4-44E4-9CAE-9C9E029908CB}"/>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[3]取水!$B$2:$F$2</c:f>
              <c:strCache>
                <c:ptCount val="5"/>
                <c:pt idx="0">
                  <c:v>(凡　例)</c:v>
                </c:pt>
                <c:pt idx="1">
                  <c:v>合　計 </c:v>
                </c:pt>
                <c:pt idx="2">
                  <c:v>簡易水道</c:v>
                </c:pt>
                <c:pt idx="3">
                  <c:v>上 水 道</c:v>
                </c:pt>
                <c:pt idx="4">
                  <c:v>用水供給</c:v>
                </c:pt>
              </c:strCache>
            </c:strRef>
          </c:cat>
          <c:val>
            <c:numRef>
              <c:f>[3]取水!$B$4:$F$4</c:f>
              <c:numCache>
                <c:formatCode>General</c:formatCode>
                <c:ptCount val="5"/>
                <c:pt idx="0">
                  <c:v>12.5</c:v>
                </c:pt>
                <c:pt idx="1">
                  <c:v>0.06</c:v>
                </c:pt>
                <c:pt idx="2">
                  <c:v>0.79</c:v>
                </c:pt>
                <c:pt idx="3">
                  <c:v>0</c:v>
                </c:pt>
                <c:pt idx="4">
                  <c:v>0</c:v>
                </c:pt>
              </c:numCache>
            </c:numRef>
          </c:val>
          <c:extLst>
            <c:ext xmlns:c16="http://schemas.microsoft.com/office/drawing/2014/chart" uri="{C3380CC4-5D6E-409C-BE32-E72D297353CC}">
              <c16:uniqueId val="{00000008-20E4-44E4-9CAE-9C9E029908CB}"/>
            </c:ext>
          </c:extLst>
        </c:ser>
        <c:ser>
          <c:idx val="2"/>
          <c:order val="2"/>
          <c:tx>
            <c:strRef>
              <c:f>[3]取水!$A$5</c:f>
              <c:strCache>
                <c:ptCount val="1"/>
                <c:pt idx="0">
                  <c:v>河川</c:v>
                </c:pt>
              </c:strCache>
            </c:strRef>
          </c:tx>
          <c:spPr>
            <a:solidFill>
              <a:srgbClr val="FFFFCC"/>
            </a:solidFill>
            <a:ln w="12700">
              <a:solidFill>
                <a:srgbClr val="000000"/>
              </a:solidFill>
              <a:prstDash val="solid"/>
            </a:ln>
          </c:spPr>
          <c:invertIfNegative val="0"/>
          <c:dLbls>
            <c:dLbl>
              <c:idx val="0"/>
              <c:tx>
                <c:rich>
                  <a:bodyPr/>
                  <a:lstStyle/>
                  <a:p>
                    <a:pPr>
                      <a:defRPr sz="800" b="0" i="0" u="none" strike="noStrike" baseline="0">
                        <a:solidFill>
                          <a:srgbClr val="000000"/>
                        </a:solidFill>
                        <a:latin typeface="ＭＳ Ｐゴシック"/>
                        <a:ea typeface="ＭＳ Ｐゴシック"/>
                        <a:cs typeface="ＭＳ Ｐゴシック"/>
                      </a:defRPr>
                    </a:pPr>
                    <a:r>
                      <a:rPr lang="ja-JP" altLang="en-US"/>
                      <a:t>河川</a:t>
                    </a:r>
                  </a:p>
                </c:rich>
              </c:tx>
              <c:spPr>
                <a:noFill/>
                <a:ln w="25400">
                  <a:noFill/>
                </a:ln>
              </c:spP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9-20E4-44E4-9CAE-9C9E029908CB}"/>
                </c:ext>
              </c:extLst>
            </c:dLbl>
            <c:dLbl>
              <c:idx val="4"/>
              <c:delete val="1"/>
              <c:extLst>
                <c:ext xmlns:c15="http://schemas.microsoft.com/office/drawing/2012/chart" uri="{CE6537A1-D6FC-4f65-9D91-7224C49458BB}"/>
                <c:ext xmlns:c16="http://schemas.microsoft.com/office/drawing/2014/chart" uri="{C3380CC4-5D6E-409C-BE32-E72D297353CC}">
                  <c16:uniqueId val="{0000000A-20E4-44E4-9CAE-9C9E029908CB}"/>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[3]取水!$B$2:$F$2</c:f>
              <c:strCache>
                <c:ptCount val="5"/>
                <c:pt idx="0">
                  <c:v>(凡　例)</c:v>
                </c:pt>
                <c:pt idx="1">
                  <c:v>合　計 </c:v>
                </c:pt>
                <c:pt idx="2">
                  <c:v>簡易水道</c:v>
                </c:pt>
                <c:pt idx="3">
                  <c:v>上 水 道</c:v>
                </c:pt>
                <c:pt idx="4">
                  <c:v>用水供給</c:v>
                </c:pt>
              </c:strCache>
            </c:strRef>
          </c:cat>
          <c:val>
            <c:numRef>
              <c:f>[3]取水!$B$5:$F$5</c:f>
              <c:numCache>
                <c:formatCode>General</c:formatCode>
                <c:ptCount val="5"/>
                <c:pt idx="0">
                  <c:v>12.5</c:v>
                </c:pt>
                <c:pt idx="1">
                  <c:v>20.25</c:v>
                </c:pt>
                <c:pt idx="2">
                  <c:v>33.270000000000003</c:v>
                </c:pt>
                <c:pt idx="3">
                  <c:v>19.21</c:v>
                </c:pt>
                <c:pt idx="4">
                  <c:v>0</c:v>
                </c:pt>
              </c:numCache>
            </c:numRef>
          </c:val>
          <c:extLst>
            <c:ext xmlns:c16="http://schemas.microsoft.com/office/drawing/2014/chart" uri="{C3380CC4-5D6E-409C-BE32-E72D297353CC}">
              <c16:uniqueId val="{0000000B-20E4-44E4-9CAE-9C9E029908CB}"/>
            </c:ext>
          </c:extLst>
        </c:ser>
        <c:ser>
          <c:idx val="3"/>
          <c:order val="3"/>
          <c:tx>
            <c:strRef>
              <c:f>[3]取水!$A$6</c:f>
              <c:strCache>
                <c:ptCount val="1"/>
                <c:pt idx="0">
                  <c:v>伏流水</c:v>
                </c:pt>
              </c:strCache>
            </c:strRef>
          </c:tx>
          <c:spPr>
            <a:solidFill>
              <a:srgbClr val="CCFFFF"/>
            </a:solidFill>
            <a:ln w="12700">
              <a:solidFill>
                <a:srgbClr val="000000"/>
              </a:solidFill>
              <a:prstDash val="solid"/>
            </a:ln>
          </c:spPr>
          <c:invertIfNegative val="0"/>
          <c:dLbls>
            <c:dLbl>
              <c:idx val="0"/>
              <c:tx>
                <c:rich>
                  <a:bodyPr/>
                  <a:lstStyle/>
                  <a:p>
                    <a:pPr>
                      <a:defRPr sz="800" b="0" i="0" u="none" strike="noStrike" baseline="0">
                        <a:solidFill>
                          <a:srgbClr val="000000"/>
                        </a:solidFill>
                        <a:latin typeface="ＭＳ Ｐゴシック"/>
                        <a:ea typeface="ＭＳ Ｐゴシック"/>
                        <a:cs typeface="ＭＳ Ｐゴシック"/>
                      </a:defRPr>
                    </a:pPr>
                    <a:r>
                      <a:rPr lang="ja-JP" altLang="en-US"/>
                      <a:t>伏流水</a:t>
                    </a:r>
                  </a:p>
                </c:rich>
              </c:tx>
              <c:spPr>
                <a:noFill/>
                <a:ln w="25400">
                  <a:noFill/>
                </a:ln>
              </c:spP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C-20E4-44E4-9CAE-9C9E029908CB}"/>
                </c:ext>
              </c:extLst>
            </c:dLbl>
            <c:dLbl>
              <c:idx val="3"/>
              <c:layout>
                <c:manualLayout>
                  <c:x val="7.7262997133307467E-4"/>
                  <c:y val="-2.4509803921568627E-4"/>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20E4-44E4-9CAE-9C9E029908CB}"/>
                </c:ext>
              </c:extLst>
            </c:dLbl>
            <c:dLbl>
              <c:idx val="4"/>
              <c:delete val="1"/>
              <c:extLst>
                <c:ext xmlns:c15="http://schemas.microsoft.com/office/drawing/2012/chart" uri="{CE6537A1-D6FC-4f65-9D91-7224C49458BB}"/>
                <c:ext xmlns:c16="http://schemas.microsoft.com/office/drawing/2014/chart" uri="{C3380CC4-5D6E-409C-BE32-E72D297353CC}">
                  <c16:uniqueId val="{0000000E-20E4-44E4-9CAE-9C9E029908CB}"/>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[3]取水!$B$2:$F$2</c:f>
              <c:strCache>
                <c:ptCount val="5"/>
                <c:pt idx="0">
                  <c:v>(凡　例)</c:v>
                </c:pt>
                <c:pt idx="1">
                  <c:v>合　計 </c:v>
                </c:pt>
                <c:pt idx="2">
                  <c:v>簡易水道</c:v>
                </c:pt>
                <c:pt idx="3">
                  <c:v>上 水 道</c:v>
                </c:pt>
                <c:pt idx="4">
                  <c:v>用水供給</c:v>
                </c:pt>
              </c:strCache>
            </c:strRef>
          </c:cat>
          <c:val>
            <c:numRef>
              <c:f>[3]取水!$B$6:$F$6</c:f>
              <c:numCache>
                <c:formatCode>General</c:formatCode>
                <c:ptCount val="5"/>
                <c:pt idx="0">
                  <c:v>12.5</c:v>
                </c:pt>
                <c:pt idx="1">
                  <c:v>4.33</c:v>
                </c:pt>
                <c:pt idx="2">
                  <c:v>17.18</c:v>
                </c:pt>
                <c:pt idx="3">
                  <c:v>3.29</c:v>
                </c:pt>
                <c:pt idx="4">
                  <c:v>0</c:v>
                </c:pt>
              </c:numCache>
            </c:numRef>
          </c:val>
          <c:extLst>
            <c:ext xmlns:c16="http://schemas.microsoft.com/office/drawing/2014/chart" uri="{C3380CC4-5D6E-409C-BE32-E72D297353CC}">
              <c16:uniqueId val="{0000000F-20E4-44E4-9CAE-9C9E029908CB}"/>
            </c:ext>
          </c:extLst>
        </c:ser>
        <c:ser>
          <c:idx val="4"/>
          <c:order val="4"/>
          <c:tx>
            <c:strRef>
              <c:f>[3]取水!$A$7</c:f>
              <c:strCache>
                <c:ptCount val="1"/>
                <c:pt idx="0">
                  <c:v>浅井戸</c:v>
                </c:pt>
              </c:strCache>
            </c:strRef>
          </c:tx>
          <c:spPr>
            <a:solidFill>
              <a:srgbClr val="92D050"/>
            </a:solidFill>
            <a:ln w="12700">
              <a:solidFill>
                <a:srgbClr val="000000"/>
              </a:solidFill>
              <a:prstDash val="solid"/>
            </a:ln>
          </c:spPr>
          <c:invertIfNegative val="0"/>
          <c:dLbls>
            <c:dLbl>
              <c:idx val="0"/>
              <c:tx>
                <c:rich>
                  <a:bodyPr/>
                  <a:lstStyle/>
                  <a:p>
                    <a:r>
                      <a:rPr lang="ja-JP" altLang="en-US"/>
                      <a:t>浅井戸</a:t>
                    </a:r>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0-20E4-44E4-9CAE-9C9E029908CB}"/>
                </c:ext>
              </c:extLst>
            </c:dLbl>
            <c:dLbl>
              <c:idx val="4"/>
              <c:layout>
                <c:manualLayout>
                  <c:x val="-3.8128394215173438E-3"/>
                  <c:y val="-7.9088735849071307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20E4-44E4-9CAE-9C9E029908CB}"/>
                </c:ext>
              </c:extLst>
            </c:dLbl>
            <c:spPr>
              <a:noFill/>
              <a:ln w="25400">
                <a:noFill/>
              </a:ln>
            </c:spPr>
            <c:txPr>
              <a:bodyPr wrap="square" lIns="38100" tIns="19050" rIns="38100" bIns="19050" anchor="ctr">
                <a:spAutoFit/>
              </a:bodyPr>
              <a:lstStyle/>
              <a:p>
                <a:pPr>
                  <a:defRPr sz="800">
                    <a:latin typeface="+mn-ea"/>
                    <a:ea typeface="+mn-ea"/>
                  </a:defRPr>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[3]取水!$B$2:$F$2</c:f>
              <c:strCache>
                <c:ptCount val="5"/>
                <c:pt idx="0">
                  <c:v>(凡　例)</c:v>
                </c:pt>
                <c:pt idx="1">
                  <c:v>合　計 </c:v>
                </c:pt>
                <c:pt idx="2">
                  <c:v>簡易水道</c:v>
                </c:pt>
                <c:pt idx="3">
                  <c:v>上 水 道</c:v>
                </c:pt>
                <c:pt idx="4">
                  <c:v>用水供給</c:v>
                </c:pt>
              </c:strCache>
            </c:strRef>
          </c:cat>
          <c:val>
            <c:numRef>
              <c:f>[3]取水!$B$7:$F$7</c:f>
              <c:numCache>
                <c:formatCode>General</c:formatCode>
                <c:ptCount val="5"/>
                <c:pt idx="0">
                  <c:v>12.5</c:v>
                </c:pt>
                <c:pt idx="1">
                  <c:v>5.51</c:v>
                </c:pt>
                <c:pt idx="2">
                  <c:v>0.41</c:v>
                </c:pt>
                <c:pt idx="3">
                  <c:v>5.94</c:v>
                </c:pt>
                <c:pt idx="4">
                  <c:v>0</c:v>
                </c:pt>
              </c:numCache>
            </c:numRef>
          </c:val>
          <c:extLst>
            <c:ext xmlns:c16="http://schemas.microsoft.com/office/drawing/2014/chart" uri="{C3380CC4-5D6E-409C-BE32-E72D297353CC}">
              <c16:uniqueId val="{00000012-20E4-44E4-9CAE-9C9E029908CB}"/>
            </c:ext>
          </c:extLst>
        </c:ser>
        <c:ser>
          <c:idx val="5"/>
          <c:order val="5"/>
          <c:tx>
            <c:strRef>
              <c:f>[3]取水!$A$8</c:f>
              <c:strCache>
                <c:ptCount val="1"/>
                <c:pt idx="0">
                  <c:v>深井戸</c:v>
                </c:pt>
              </c:strCache>
            </c:strRef>
          </c:tx>
          <c:spPr>
            <a:solidFill>
              <a:srgbClr val="FF8080"/>
            </a:solidFill>
            <a:ln w="12700">
              <a:solidFill>
                <a:srgbClr val="000000"/>
              </a:solidFill>
              <a:prstDash val="solid"/>
            </a:ln>
          </c:spPr>
          <c:invertIfNegative val="0"/>
          <c:dLbls>
            <c:dLbl>
              <c:idx val="0"/>
              <c:tx>
                <c:rich>
                  <a:bodyPr/>
                  <a:lstStyle/>
                  <a:p>
                    <a:pPr>
                      <a:defRPr sz="800" b="0" i="0" u="none" strike="noStrike" baseline="0">
                        <a:solidFill>
                          <a:srgbClr val="000000"/>
                        </a:solidFill>
                        <a:latin typeface="ＭＳ Ｐゴシック"/>
                        <a:ea typeface="ＭＳ Ｐゴシック"/>
                        <a:cs typeface="ＭＳ Ｐゴシック"/>
                      </a:defRPr>
                    </a:pPr>
                    <a:r>
                      <a:rPr lang="ja-JP" altLang="en-US"/>
                      <a:t>深井戸</a:t>
                    </a:r>
                  </a:p>
                </c:rich>
              </c:tx>
              <c:spPr>
                <a:noFill/>
                <a:ln w="25400">
                  <a:noFill/>
                </a:ln>
              </c:spP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3-20E4-44E4-9CAE-9C9E029908CB}"/>
                </c:ext>
              </c:extLst>
            </c:dLbl>
            <c:dLbl>
              <c:idx val="4"/>
              <c:layout>
                <c:manualLayout>
                  <c:x val="-5.2494092350573477E-4"/>
                  <c:y val="-1.4704588781387481E-3"/>
                </c:manualLayout>
              </c:layout>
              <c:spPr>
                <a:noFill/>
                <a:ln w="25400">
                  <a:noFill/>
                </a:ln>
              </c:spPr>
              <c:txPr>
                <a:bodyPr/>
                <a:lstStyle/>
                <a:p>
                  <a:pPr>
                    <a:defRPr sz="800" b="0" i="0" u="none" strike="noStrike" baseline="0">
                      <a:solidFill>
                        <a:schemeClr val="bg1"/>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20E4-44E4-9CAE-9C9E029908CB}"/>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[3]取水!$B$2:$F$2</c:f>
              <c:strCache>
                <c:ptCount val="5"/>
                <c:pt idx="0">
                  <c:v>(凡　例)</c:v>
                </c:pt>
                <c:pt idx="1">
                  <c:v>合　計 </c:v>
                </c:pt>
                <c:pt idx="2">
                  <c:v>簡易水道</c:v>
                </c:pt>
                <c:pt idx="3">
                  <c:v>上 水 道</c:v>
                </c:pt>
                <c:pt idx="4">
                  <c:v>用水供給</c:v>
                </c:pt>
              </c:strCache>
            </c:strRef>
          </c:cat>
          <c:val>
            <c:numRef>
              <c:f>[3]取水!$B$8:$F$8</c:f>
              <c:numCache>
                <c:formatCode>General</c:formatCode>
                <c:ptCount val="5"/>
                <c:pt idx="0">
                  <c:v>12.5</c:v>
                </c:pt>
                <c:pt idx="1">
                  <c:v>25.46</c:v>
                </c:pt>
                <c:pt idx="2">
                  <c:v>11.59</c:v>
                </c:pt>
                <c:pt idx="3">
                  <c:v>26.23</c:v>
                </c:pt>
                <c:pt idx="4">
                  <c:v>2.27</c:v>
                </c:pt>
              </c:numCache>
            </c:numRef>
          </c:val>
          <c:extLst>
            <c:ext xmlns:c16="http://schemas.microsoft.com/office/drawing/2014/chart" uri="{C3380CC4-5D6E-409C-BE32-E72D297353CC}">
              <c16:uniqueId val="{00000015-20E4-44E4-9CAE-9C9E029908CB}"/>
            </c:ext>
          </c:extLst>
        </c:ser>
        <c:ser>
          <c:idx val="6"/>
          <c:order val="6"/>
          <c:tx>
            <c:strRef>
              <c:f>[3]取水!$A$9</c:f>
              <c:strCache>
                <c:ptCount val="1"/>
                <c:pt idx="0">
                  <c:v>湧水等</c:v>
                </c:pt>
              </c:strCache>
            </c:strRef>
          </c:tx>
          <c:spPr>
            <a:solidFill>
              <a:srgbClr val="0066CC"/>
            </a:solidFill>
            <a:ln w="12700">
              <a:solidFill>
                <a:srgbClr val="000000"/>
              </a:solidFill>
              <a:prstDash val="solid"/>
            </a:ln>
          </c:spPr>
          <c:invertIfNegative val="0"/>
          <c:dLbls>
            <c:dLbl>
              <c:idx val="0"/>
              <c:layout>
                <c:manualLayout>
                  <c:x val="7.2536084022882912E-3"/>
                  <c:y val="-2.450980392156854E-4"/>
                </c:manualLayout>
              </c:layout>
              <c:tx>
                <c:rich>
                  <a:bodyPr/>
                  <a:lstStyle/>
                  <a:p>
                    <a:pPr>
                      <a:defRPr sz="800" b="0" i="0" u="none" strike="noStrike" baseline="0">
                        <a:solidFill>
                          <a:srgbClr val="FFFFFF"/>
                        </a:solidFill>
                        <a:latin typeface="ＭＳ Ｐゴシック"/>
                        <a:ea typeface="ＭＳ Ｐゴシック"/>
                        <a:cs typeface="ＭＳ Ｐゴシック"/>
                      </a:defRPr>
                    </a:pPr>
                    <a:r>
                      <a:rPr lang="ja-JP" altLang="en-US"/>
                      <a:t>湧水等</a:t>
                    </a:r>
                  </a:p>
                </c:rich>
              </c:tx>
              <c:spPr>
                <a:noFill/>
                <a:ln w="25400">
                  <a:noFill/>
                </a:ln>
              </c:spPr>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6-20E4-44E4-9CAE-9C9E029908CB}"/>
                </c:ext>
              </c:extLst>
            </c:dLbl>
            <c:dLbl>
              <c:idx val="1"/>
              <c:layout>
                <c:manualLayout>
                  <c:x val="-1.570964201811765E-3"/>
                  <c:y val="-3.9215686274509734E-3"/>
                </c:manualLayout>
              </c:layout>
              <c:spPr>
                <a:noFill/>
                <a:ln w="25400">
                  <a:noFill/>
                </a:ln>
              </c:spPr>
              <c:txPr>
                <a:bodyPr/>
                <a:lstStyle/>
                <a:p>
                  <a:pPr>
                    <a:defRPr sz="800" b="0" i="0" u="none" strike="noStrike" baseline="0">
                      <a:solidFill>
                        <a:srgbClr val="FFFFFF"/>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20E4-44E4-9CAE-9C9E029908CB}"/>
                </c:ext>
              </c:extLst>
            </c:dLbl>
            <c:dLbl>
              <c:idx val="2"/>
              <c:layout>
                <c:manualLayout>
                  <c:x val="2.1092514469077538E-3"/>
                  <c:y val="-3.9215686274509795E-3"/>
                </c:manualLayout>
              </c:layout>
              <c:spPr>
                <a:noFill/>
                <a:ln w="25400">
                  <a:noFill/>
                </a:ln>
              </c:spPr>
              <c:txPr>
                <a:bodyPr/>
                <a:lstStyle/>
                <a:p>
                  <a:pPr>
                    <a:defRPr sz="800" b="0" i="0" u="none" strike="noStrike" baseline="0">
                      <a:solidFill>
                        <a:srgbClr val="FFFFFF"/>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8-20E4-44E4-9CAE-9C9E029908CB}"/>
                </c:ext>
              </c:extLst>
            </c:dLbl>
            <c:dLbl>
              <c:idx val="3"/>
              <c:layout>
                <c:manualLayout>
                  <c:x val="6.7001322767881915E-3"/>
                  <c:y val="-2.4509803921570503E-4"/>
                </c:manualLayout>
              </c:layout>
              <c:spPr>
                <a:noFill/>
                <a:ln w="25400">
                  <a:noFill/>
                </a:ln>
              </c:spPr>
              <c:txPr>
                <a:bodyPr/>
                <a:lstStyle/>
                <a:p>
                  <a:pPr>
                    <a:defRPr sz="800" b="0" i="0" u="none" strike="noStrike" baseline="0">
                      <a:solidFill>
                        <a:srgbClr val="FFFFFF"/>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9-20E4-44E4-9CAE-9C9E029908CB}"/>
                </c:ext>
              </c:extLst>
            </c:dLbl>
            <c:dLbl>
              <c:idx val="4"/>
              <c:layout>
                <c:manualLayout>
                  <c:x val="3.5383414910973967E-3"/>
                  <c:y val="9.8039215686274508E-4"/>
                </c:manualLayout>
              </c:layout>
              <c:spPr>
                <a:noFill/>
                <a:ln w="25400">
                  <a:noFill/>
                </a:ln>
              </c:spPr>
              <c:txPr>
                <a:bodyPr/>
                <a:lstStyle/>
                <a:p>
                  <a:pPr>
                    <a:defRPr sz="800" b="0" i="0" u="none" strike="noStrike" baseline="0">
                      <a:solidFill>
                        <a:srgbClr val="FFFFFF"/>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A-20E4-44E4-9CAE-9C9E029908CB}"/>
                </c:ext>
              </c:extLst>
            </c:dLbl>
            <c:spPr>
              <a:noFill/>
              <a:ln w="25400">
                <a:noFill/>
              </a:ln>
            </c:spPr>
            <c:txPr>
              <a:bodyPr wrap="square" lIns="38100" tIns="19050" rIns="38100" bIns="19050" anchor="ctr">
                <a:spAutoFit/>
              </a:bodyPr>
              <a:lstStyle/>
              <a:p>
                <a:pPr>
                  <a:defRPr sz="800" b="0" i="0" u="none" strike="noStrike" baseline="0">
                    <a:solidFill>
                      <a:srgbClr val="FFFFFF"/>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[3]取水!$B$2:$F$2</c:f>
              <c:strCache>
                <c:ptCount val="5"/>
                <c:pt idx="0">
                  <c:v>(凡　例)</c:v>
                </c:pt>
                <c:pt idx="1">
                  <c:v>合　計 </c:v>
                </c:pt>
                <c:pt idx="2">
                  <c:v>簡易水道</c:v>
                </c:pt>
                <c:pt idx="3">
                  <c:v>上 水 道</c:v>
                </c:pt>
                <c:pt idx="4">
                  <c:v>用水供給</c:v>
                </c:pt>
              </c:strCache>
            </c:strRef>
          </c:cat>
          <c:val>
            <c:numRef>
              <c:f>[3]取水!$B$9:$F$9</c:f>
              <c:numCache>
                <c:formatCode>General</c:formatCode>
                <c:ptCount val="5"/>
                <c:pt idx="0">
                  <c:v>12.5</c:v>
                </c:pt>
                <c:pt idx="1">
                  <c:v>19.29</c:v>
                </c:pt>
                <c:pt idx="2">
                  <c:v>35.06</c:v>
                </c:pt>
                <c:pt idx="3">
                  <c:v>16.170000000000002</c:v>
                </c:pt>
                <c:pt idx="4">
                  <c:v>10.84</c:v>
                </c:pt>
              </c:numCache>
            </c:numRef>
          </c:val>
          <c:extLst>
            <c:ext xmlns:c16="http://schemas.microsoft.com/office/drawing/2014/chart" uri="{C3380CC4-5D6E-409C-BE32-E72D297353CC}">
              <c16:uniqueId val="{0000001B-20E4-44E4-9CAE-9C9E029908CB}"/>
            </c:ext>
          </c:extLst>
        </c:ser>
        <c:ser>
          <c:idx val="7"/>
          <c:order val="7"/>
          <c:tx>
            <c:strRef>
              <c:f>[3]取水!$A$10</c:f>
              <c:strCache>
                <c:ptCount val="1"/>
                <c:pt idx="0">
                  <c:v>受水</c:v>
                </c:pt>
              </c:strCache>
            </c:strRef>
          </c:tx>
          <c:spPr>
            <a:solidFill>
              <a:srgbClr val="CCCCFF"/>
            </a:solidFill>
            <a:ln w="12700">
              <a:solidFill>
                <a:srgbClr val="000000"/>
              </a:solidFill>
              <a:prstDash val="solid"/>
            </a:ln>
          </c:spPr>
          <c:invertIfNegative val="0"/>
          <c:dLbls>
            <c:dLbl>
              <c:idx val="0"/>
              <c:tx>
                <c:rich>
                  <a:bodyPr/>
                  <a:lstStyle/>
                  <a:p>
                    <a:pPr>
                      <a:defRPr sz="800" b="0" i="0" u="none" strike="noStrike" baseline="0">
                        <a:solidFill>
                          <a:srgbClr val="000000"/>
                        </a:solidFill>
                        <a:latin typeface="ＭＳ Ｐゴシック"/>
                        <a:ea typeface="ＭＳ Ｐゴシック"/>
                        <a:cs typeface="ＭＳ Ｐゴシック"/>
                      </a:defRPr>
                    </a:pPr>
                    <a:r>
                      <a:rPr lang="ja-JP" altLang="en-US"/>
                      <a:t>受水</a:t>
                    </a:r>
                  </a:p>
                </c:rich>
              </c:tx>
              <c:spPr>
                <a:noFill/>
                <a:ln w="25400">
                  <a:noFill/>
                </a:ln>
              </c:spP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C-20E4-44E4-9CAE-9C9E029908CB}"/>
                </c:ext>
              </c:extLst>
            </c:dLbl>
            <c:dLbl>
              <c:idx val="1"/>
              <c:delete val="1"/>
              <c:extLst>
                <c:ext xmlns:c15="http://schemas.microsoft.com/office/drawing/2012/chart" uri="{CE6537A1-D6FC-4f65-9D91-7224C49458BB}"/>
                <c:ext xmlns:c16="http://schemas.microsoft.com/office/drawing/2014/chart" uri="{C3380CC4-5D6E-409C-BE32-E72D297353CC}">
                  <c16:uniqueId val="{0000001D-20E4-44E4-9CAE-9C9E029908CB}"/>
                </c:ext>
              </c:extLst>
            </c:dLbl>
            <c:dLbl>
              <c:idx val="2"/>
              <c:layout>
                <c:manualLayout>
                  <c:x val="-4.9454186383893562E-3"/>
                  <c:y val="-7.3413017617402099E-2"/>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E-20E4-44E4-9CAE-9C9E029908CB}"/>
                </c:ext>
              </c:extLst>
            </c:dLbl>
            <c:dLbl>
              <c:idx val="4"/>
              <c:tx>
                <c:rich>
                  <a:bodyPr/>
                  <a:lstStyle/>
                  <a:p>
                    <a:pPr>
                      <a:defRPr sz="800" b="0" i="0" u="none" strike="noStrike" baseline="0">
                        <a:solidFill>
                          <a:srgbClr val="000000"/>
                        </a:solidFill>
                        <a:latin typeface="ＭＳ Ｐゴシック"/>
                        <a:ea typeface="ＭＳ Ｐゴシック"/>
                        <a:cs typeface="ＭＳ Ｐゴシック"/>
                      </a:defRPr>
                    </a:pPr>
                    <a:r>
                      <a:rPr lang="en-US" altLang="ja-JP"/>
                      <a:t> </a:t>
                    </a:r>
                  </a:p>
                </c:rich>
              </c:tx>
              <c:spPr>
                <a:noFill/>
                <a:ln w="25400">
                  <a:noFill/>
                </a:ln>
              </c:spP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F-20E4-44E4-9CAE-9C9E029908CB}"/>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[3]取水!$B$2:$F$2</c:f>
              <c:strCache>
                <c:ptCount val="5"/>
                <c:pt idx="0">
                  <c:v>(凡　例)</c:v>
                </c:pt>
                <c:pt idx="1">
                  <c:v>合　計 </c:v>
                </c:pt>
                <c:pt idx="2">
                  <c:v>簡易水道</c:v>
                </c:pt>
                <c:pt idx="3">
                  <c:v>上 水 道</c:v>
                </c:pt>
                <c:pt idx="4">
                  <c:v>用水供給</c:v>
                </c:pt>
              </c:strCache>
            </c:strRef>
          </c:cat>
          <c:val>
            <c:numRef>
              <c:f>[3]取水!$B$10:$F$10</c:f>
              <c:numCache>
                <c:formatCode>General</c:formatCode>
                <c:ptCount val="5"/>
                <c:pt idx="0">
                  <c:v>12.5</c:v>
                </c:pt>
                <c:pt idx="1">
                  <c:v>0</c:v>
                </c:pt>
                <c:pt idx="2">
                  <c:v>1.08</c:v>
                </c:pt>
                <c:pt idx="3">
                  <c:v>16.899999999999999</c:v>
                </c:pt>
                <c:pt idx="4">
                  <c:v>0</c:v>
                </c:pt>
              </c:numCache>
            </c:numRef>
          </c:val>
          <c:extLst>
            <c:ext xmlns:c16="http://schemas.microsoft.com/office/drawing/2014/chart" uri="{C3380CC4-5D6E-409C-BE32-E72D297353CC}">
              <c16:uniqueId val="{00000020-20E4-44E4-9CAE-9C9E029908CB}"/>
            </c:ext>
          </c:extLst>
        </c:ser>
        <c:dLbls>
          <c:showLegendKey val="0"/>
          <c:showVal val="0"/>
          <c:showCatName val="0"/>
          <c:showSerName val="0"/>
          <c:showPercent val="0"/>
          <c:showBubbleSize val="0"/>
        </c:dLbls>
        <c:gapWidth val="80"/>
        <c:overlap val="100"/>
        <c:serLines>
          <c:spPr>
            <a:ln w="3175">
              <a:solidFill>
                <a:srgbClr val="000000"/>
              </a:solidFill>
              <a:prstDash val="solid"/>
            </a:ln>
          </c:spPr>
        </c:serLines>
        <c:axId val="-930023648"/>
        <c:axId val="-930020384"/>
      </c:barChart>
      <c:catAx>
        <c:axId val="-930023648"/>
        <c:scaling>
          <c:orientation val="minMax"/>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20384"/>
        <c:crosses val="autoZero"/>
        <c:auto val="1"/>
        <c:lblAlgn val="ctr"/>
        <c:lblOffset val="150"/>
        <c:tickLblSkip val="1"/>
        <c:tickMarkSkip val="1"/>
        <c:noMultiLvlLbl val="0"/>
      </c:catAx>
      <c:valAx>
        <c:axId val="-930020384"/>
        <c:scaling>
          <c:orientation val="minMax"/>
        </c:scaling>
        <c:delete val="0"/>
        <c:axPos val="b"/>
        <c:majorGridlines>
          <c:spPr>
            <a:ln w="3175">
              <a:solidFill>
                <a:srgbClr val="FFFFFF"/>
              </a:solidFill>
              <a:prstDash val="solid"/>
            </a:ln>
          </c:spPr>
        </c:majorGridlines>
        <c:numFmt formatCode="0%"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30023648"/>
        <c:crosses val="autoZero"/>
        <c:crossBetween val="between"/>
        <c:majorUnit val="0.2"/>
      </c:valAx>
      <c:spPr>
        <a:noFill/>
        <a:ln w="12700">
          <a:solidFill>
            <a:srgbClr val="FFFFFF"/>
          </a:solidFill>
          <a:prstDash val="solid"/>
        </a:ln>
      </c:spPr>
    </c:plotArea>
    <c:plotVisOnly val="1"/>
    <c:dispBlanksAs val="gap"/>
    <c:showDLblsOverMax val="0"/>
  </c:chart>
  <c:spPr>
    <a:solidFill>
      <a:srgbClr val="FFFFFF"/>
    </a:solidFill>
    <a:ln w="9525">
      <a:noFill/>
    </a:ln>
  </c:spPr>
  <c:txPr>
    <a:bodyPr/>
    <a:lstStyle/>
    <a:p>
      <a:pPr>
        <a:defRPr sz="165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400" verticalDpi="400"/>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7964071856287425"/>
          <c:y val="6.2814070351758788E-2"/>
          <c:w val="0.54191616766467066"/>
          <c:h val="0.90954773869346739"/>
        </c:manualLayout>
      </c:layout>
      <c:doughnutChart>
        <c:varyColors val="1"/>
        <c:ser>
          <c:idx val="1"/>
          <c:order val="0"/>
          <c:spPr>
            <a:solidFill>
              <a:srgbClr val="993366"/>
            </a:solidFill>
            <a:ln w="12700">
              <a:solidFill>
                <a:srgbClr val="000000"/>
              </a:solidFill>
              <a:prstDash val="solid"/>
            </a:ln>
          </c:spPr>
          <c:dPt>
            <c:idx val="0"/>
            <c:bubble3D val="0"/>
            <c:spPr>
              <a:solidFill>
                <a:srgbClr val="9999FF"/>
              </a:solidFill>
              <a:ln w="12700">
                <a:solidFill>
                  <a:srgbClr val="000000"/>
                </a:solidFill>
                <a:prstDash val="solid"/>
              </a:ln>
            </c:spPr>
            <c:extLst>
              <c:ext xmlns:c16="http://schemas.microsoft.com/office/drawing/2014/chart" uri="{C3380CC4-5D6E-409C-BE32-E72D297353CC}">
                <c16:uniqueId val="{00000001-22A3-4D2F-A6A6-EF026E078DD0}"/>
              </c:ext>
            </c:extLst>
          </c:dPt>
          <c:dPt>
            <c:idx val="1"/>
            <c:bubble3D val="0"/>
            <c:spPr>
              <a:solidFill>
                <a:srgbClr val="FFCC99"/>
              </a:solidFill>
              <a:ln w="12700">
                <a:solidFill>
                  <a:srgbClr val="000000"/>
                </a:solidFill>
                <a:prstDash val="solid"/>
              </a:ln>
            </c:spPr>
            <c:extLst>
              <c:ext xmlns:c16="http://schemas.microsoft.com/office/drawing/2014/chart" uri="{C3380CC4-5D6E-409C-BE32-E72D297353CC}">
                <c16:uniqueId val="{00000003-22A3-4D2F-A6A6-EF026E078DD0}"/>
              </c:ext>
            </c:extLst>
          </c:dPt>
          <c:dPt>
            <c:idx val="2"/>
            <c:bubble3D val="0"/>
            <c:spPr>
              <a:solidFill>
                <a:srgbClr val="FFFFCC"/>
              </a:solidFill>
              <a:ln w="12700">
                <a:solidFill>
                  <a:srgbClr val="000000"/>
                </a:solidFill>
                <a:prstDash val="solid"/>
              </a:ln>
            </c:spPr>
            <c:extLst>
              <c:ext xmlns:c16="http://schemas.microsoft.com/office/drawing/2014/chart" uri="{C3380CC4-5D6E-409C-BE32-E72D297353CC}">
                <c16:uniqueId val="{00000005-22A3-4D2F-A6A6-EF026E078DD0}"/>
              </c:ext>
            </c:extLst>
          </c:dPt>
          <c:dPt>
            <c:idx val="3"/>
            <c:bubble3D val="0"/>
            <c:spPr>
              <a:solidFill>
                <a:srgbClr val="CCFFFF"/>
              </a:solidFill>
              <a:ln w="12700">
                <a:solidFill>
                  <a:srgbClr val="000000"/>
                </a:solidFill>
                <a:prstDash val="solid"/>
              </a:ln>
            </c:spPr>
            <c:extLst>
              <c:ext xmlns:c16="http://schemas.microsoft.com/office/drawing/2014/chart" uri="{C3380CC4-5D6E-409C-BE32-E72D297353CC}">
                <c16:uniqueId val="{00000007-22A3-4D2F-A6A6-EF026E078DD0}"/>
              </c:ext>
            </c:extLst>
          </c:dPt>
          <c:cat>
            <c:strRef>
              <c:f>[3]数・人口!$J$55:$M$55</c:f>
              <c:strCache>
                <c:ptCount val="4"/>
                <c:pt idx="0">
                  <c:v>上水道</c:v>
                </c:pt>
                <c:pt idx="1">
                  <c:v>簡易水道</c:v>
                </c:pt>
                <c:pt idx="2">
                  <c:v>専用水道</c:v>
                </c:pt>
                <c:pt idx="3">
                  <c:v>未普及</c:v>
                </c:pt>
              </c:strCache>
            </c:strRef>
          </c:cat>
          <c:val>
            <c:numRef>
              <c:f>[3]数・人口!$J$57:$M$57</c:f>
              <c:numCache>
                <c:formatCode>General</c:formatCode>
                <c:ptCount val="4"/>
                <c:pt idx="0">
                  <c:v>0.9484705437879718</c:v>
                </c:pt>
                <c:pt idx="1">
                  <c:v>4.0925773728107004E-2</c:v>
                </c:pt>
                <c:pt idx="2">
                  <c:v>9.0543965993842418E-4</c:v>
                </c:pt>
                <c:pt idx="3">
                  <c:v>9.6982428239827285E-3</c:v>
                </c:pt>
              </c:numCache>
            </c:numRef>
          </c:val>
          <c:extLst>
            <c:ext xmlns:c16="http://schemas.microsoft.com/office/drawing/2014/chart" uri="{C3380CC4-5D6E-409C-BE32-E72D297353CC}">
              <c16:uniqueId val="{00000008-22A3-4D2F-A6A6-EF026E078DD0}"/>
            </c:ext>
          </c:extLst>
        </c:ser>
        <c:dLbls>
          <c:showLegendKey val="0"/>
          <c:showVal val="0"/>
          <c:showCatName val="0"/>
          <c:showSerName val="0"/>
          <c:showPercent val="0"/>
          <c:showBubbleSize val="0"/>
          <c:showLeaderLines val="1"/>
        </c:dLbls>
        <c:firstSliceAng val="0"/>
        <c:holeSize val="50"/>
      </c:doughnutChart>
      <c:spPr>
        <a:noFill/>
        <a:ln w="25400">
          <a:noFill/>
        </a:ln>
      </c:spPr>
    </c:plotArea>
    <c:plotVisOnly val="1"/>
    <c:dispBlanksAs val="zero"/>
    <c:showDLblsOverMax val="0"/>
  </c:chart>
  <c:spPr>
    <a:solidFill>
      <a:srgbClr val="FFFFFF"/>
    </a:solidFill>
    <a:ln w="9525">
      <a:noFill/>
    </a:ln>
  </c:spPr>
  <c:txPr>
    <a:bodyPr/>
    <a:lstStyle/>
    <a:p>
      <a:pPr>
        <a:defRPr sz="152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paperSize="9" orientation="portrait"/>
  </c:printSettings>
  <c:userShapes r:id="rId1"/>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900" b="0" i="0" u="none" strike="noStrike" kern="1200" spc="0" baseline="0">
                <a:solidFill>
                  <a:sysClr val="windowText" lastClr="000000"/>
                </a:solidFill>
                <a:latin typeface="+mn-ea"/>
                <a:ea typeface="+mn-ea"/>
                <a:cs typeface="+mn-cs"/>
              </a:defRPr>
            </a:pPr>
            <a:r>
              <a:rPr lang="ja-JP" altLang="en-US" sz="900">
                <a:solidFill>
                  <a:sysClr val="windowText" lastClr="000000"/>
                </a:solidFill>
                <a:latin typeface="+mn-ea"/>
                <a:ea typeface="+mn-ea"/>
              </a:rPr>
              <a:t>簡易水道</a:t>
            </a:r>
            <a:endParaRPr lang="en-US" altLang="ja-JP" sz="900">
              <a:solidFill>
                <a:sysClr val="windowText" lastClr="000000"/>
              </a:solidFill>
              <a:latin typeface="+mn-ea"/>
              <a:ea typeface="+mn-ea"/>
            </a:endParaRPr>
          </a:p>
          <a:p>
            <a:pPr>
              <a:defRPr sz="900">
                <a:solidFill>
                  <a:sysClr val="windowText" lastClr="000000"/>
                </a:solidFill>
                <a:latin typeface="+mn-ea"/>
              </a:defRPr>
            </a:pPr>
            <a:r>
              <a:rPr lang="en-US" altLang="ja-JP" sz="900">
                <a:solidFill>
                  <a:sysClr val="windowText" lastClr="000000"/>
                </a:solidFill>
                <a:latin typeface="+mn-ea"/>
                <a:ea typeface="+mn-ea"/>
              </a:rPr>
              <a:t>3,182km</a:t>
            </a:r>
            <a:endParaRPr lang="ja-JP" altLang="en-US" sz="900">
              <a:solidFill>
                <a:sysClr val="windowText" lastClr="000000"/>
              </a:solidFill>
              <a:latin typeface="+mn-ea"/>
              <a:ea typeface="+mn-ea"/>
            </a:endParaRPr>
          </a:p>
        </c:rich>
      </c:tx>
      <c:layout>
        <c:manualLayout>
          <c:xMode val="edge"/>
          <c:yMode val="edge"/>
          <c:x val="0.41403652247508926"/>
          <c:y val="0.43809539578986872"/>
        </c:manualLayout>
      </c:layout>
      <c:overlay val="0"/>
      <c:spPr>
        <a:noFill/>
        <a:ln>
          <a:noFill/>
        </a:ln>
        <a:effectLst/>
      </c:spPr>
      <c:txPr>
        <a:bodyPr rot="0" spcFirstLastPara="1" vertOverflow="ellipsis" vert="horz" wrap="square" anchor="ctr" anchorCtr="1"/>
        <a:lstStyle/>
        <a:p>
          <a:pPr>
            <a:defRPr sz="900" b="0" i="0" u="none" strike="noStrike" kern="1200" spc="0" baseline="0">
              <a:solidFill>
                <a:sysClr val="windowText" lastClr="000000"/>
              </a:solidFill>
              <a:latin typeface="+mn-ea"/>
              <a:ea typeface="+mn-ea"/>
              <a:cs typeface="+mn-cs"/>
            </a:defRPr>
          </a:pPr>
          <a:endParaRPr lang="ja-JP"/>
        </a:p>
      </c:txPr>
    </c:title>
    <c:autoTitleDeleted val="0"/>
    <c:plotArea>
      <c:layout>
        <c:manualLayout>
          <c:layoutTarget val="inner"/>
          <c:xMode val="edge"/>
          <c:yMode val="edge"/>
          <c:x val="0.14860624128272806"/>
          <c:y val="0.10032212085085715"/>
          <c:w val="0.67927495109950131"/>
          <c:h val="0.9740112934231383"/>
        </c:manualLayout>
      </c:layout>
      <c:doughnutChart>
        <c:varyColors val="1"/>
        <c:ser>
          <c:idx val="0"/>
          <c:order val="0"/>
          <c:tx>
            <c:strRef>
              <c:f>[3]管種!$A$4</c:f>
              <c:strCache>
                <c:ptCount val="1"/>
                <c:pt idx="0">
                  <c:v>簡易水道</c:v>
                </c:pt>
              </c:strCache>
            </c:strRef>
          </c:tx>
          <c:spPr>
            <a:ln w="3175">
              <a:solidFill>
                <a:schemeClr val="bg1"/>
              </a:solidFill>
            </a:ln>
          </c:spPr>
          <c:dPt>
            <c:idx val="0"/>
            <c:bubble3D val="0"/>
            <c:spPr>
              <a:solidFill>
                <a:schemeClr val="accent1"/>
              </a:solidFill>
              <a:ln w="3175">
                <a:solidFill>
                  <a:schemeClr val="bg1"/>
                </a:solidFill>
              </a:ln>
              <a:effectLst/>
            </c:spPr>
            <c:extLst>
              <c:ext xmlns:c16="http://schemas.microsoft.com/office/drawing/2014/chart" uri="{C3380CC4-5D6E-409C-BE32-E72D297353CC}">
                <c16:uniqueId val="{00000001-948E-4CD5-BA05-95BD834ED2B3}"/>
              </c:ext>
            </c:extLst>
          </c:dPt>
          <c:dPt>
            <c:idx val="1"/>
            <c:bubble3D val="0"/>
            <c:spPr>
              <a:solidFill>
                <a:schemeClr val="accent2"/>
              </a:solidFill>
              <a:ln w="3175">
                <a:solidFill>
                  <a:schemeClr val="bg1"/>
                </a:solidFill>
              </a:ln>
              <a:effectLst/>
            </c:spPr>
            <c:extLst>
              <c:ext xmlns:c16="http://schemas.microsoft.com/office/drawing/2014/chart" uri="{C3380CC4-5D6E-409C-BE32-E72D297353CC}">
                <c16:uniqueId val="{00000003-948E-4CD5-BA05-95BD834ED2B3}"/>
              </c:ext>
            </c:extLst>
          </c:dPt>
          <c:dPt>
            <c:idx val="2"/>
            <c:bubble3D val="0"/>
            <c:spPr>
              <a:solidFill>
                <a:schemeClr val="accent3"/>
              </a:solidFill>
              <a:ln w="3175">
                <a:solidFill>
                  <a:schemeClr val="bg1"/>
                </a:solidFill>
              </a:ln>
              <a:effectLst/>
            </c:spPr>
            <c:extLst>
              <c:ext xmlns:c16="http://schemas.microsoft.com/office/drawing/2014/chart" uri="{C3380CC4-5D6E-409C-BE32-E72D297353CC}">
                <c16:uniqueId val="{00000005-948E-4CD5-BA05-95BD834ED2B3}"/>
              </c:ext>
            </c:extLst>
          </c:dPt>
          <c:dPt>
            <c:idx val="3"/>
            <c:bubble3D val="0"/>
            <c:spPr>
              <a:solidFill>
                <a:schemeClr val="accent4"/>
              </a:solidFill>
              <a:ln w="3175">
                <a:solidFill>
                  <a:schemeClr val="bg1"/>
                </a:solidFill>
              </a:ln>
              <a:effectLst/>
            </c:spPr>
            <c:extLst>
              <c:ext xmlns:c16="http://schemas.microsoft.com/office/drawing/2014/chart" uri="{C3380CC4-5D6E-409C-BE32-E72D297353CC}">
                <c16:uniqueId val="{00000007-948E-4CD5-BA05-95BD834ED2B3}"/>
              </c:ext>
            </c:extLst>
          </c:dPt>
          <c:dPt>
            <c:idx val="4"/>
            <c:bubble3D val="0"/>
            <c:spPr>
              <a:solidFill>
                <a:schemeClr val="accent5"/>
              </a:solidFill>
              <a:ln w="3175">
                <a:solidFill>
                  <a:schemeClr val="bg1"/>
                </a:solidFill>
              </a:ln>
              <a:effectLst/>
            </c:spPr>
            <c:extLst>
              <c:ext xmlns:c16="http://schemas.microsoft.com/office/drawing/2014/chart" uri="{C3380CC4-5D6E-409C-BE32-E72D297353CC}">
                <c16:uniqueId val="{00000009-948E-4CD5-BA05-95BD834ED2B3}"/>
              </c:ext>
            </c:extLst>
          </c:dPt>
          <c:dPt>
            <c:idx val="5"/>
            <c:bubble3D val="0"/>
            <c:spPr>
              <a:solidFill>
                <a:schemeClr val="accent6"/>
              </a:solidFill>
              <a:ln w="3175">
                <a:solidFill>
                  <a:schemeClr val="bg1"/>
                </a:solidFill>
              </a:ln>
              <a:effectLst/>
            </c:spPr>
            <c:extLst>
              <c:ext xmlns:c16="http://schemas.microsoft.com/office/drawing/2014/chart" uri="{C3380CC4-5D6E-409C-BE32-E72D297353CC}">
                <c16:uniqueId val="{0000000B-948E-4CD5-BA05-95BD834ED2B3}"/>
              </c:ext>
            </c:extLst>
          </c:dPt>
          <c:dPt>
            <c:idx val="6"/>
            <c:bubble3D val="0"/>
            <c:spPr>
              <a:solidFill>
                <a:schemeClr val="accent1">
                  <a:lumMod val="60000"/>
                </a:schemeClr>
              </a:solidFill>
              <a:ln w="3175">
                <a:solidFill>
                  <a:schemeClr val="bg1"/>
                </a:solidFill>
              </a:ln>
              <a:effectLst/>
            </c:spPr>
            <c:extLst>
              <c:ext xmlns:c16="http://schemas.microsoft.com/office/drawing/2014/chart" uri="{C3380CC4-5D6E-409C-BE32-E72D297353CC}">
                <c16:uniqueId val="{0000000D-948E-4CD5-BA05-95BD834ED2B3}"/>
              </c:ext>
            </c:extLst>
          </c:dPt>
          <c:dLbls>
            <c:dLbl>
              <c:idx val="0"/>
              <c:layout>
                <c:manualLayout>
                  <c:x val="5.0674854094456566E-2"/>
                  <c:y val="-0.1752381583159475"/>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1-948E-4CD5-BA05-95BD834ED2B3}"/>
                </c:ext>
              </c:extLst>
            </c:dLbl>
            <c:dLbl>
              <c:idx val="3"/>
              <c:layout>
                <c:manualLayout>
                  <c:x val="0.20380730536874733"/>
                  <c:y val="5.6952401452682939E-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7-948E-4CD5-BA05-95BD834ED2B3}"/>
                </c:ext>
              </c:extLst>
            </c:dLbl>
            <c:dLbl>
              <c:idx val="4"/>
              <c:tx>
                <c:rich>
                  <a:bodyPr/>
                  <a:lstStyle/>
                  <a:p>
                    <a:fld id="{D4F447AA-B169-4197-8A88-0B1B4BE785C6}" type="CATEGORYNAME">
                      <a:rPr lang="ja-JP" altLang="en-US">
                        <a:solidFill>
                          <a:schemeClr val="bg1"/>
                        </a:solidFill>
                      </a:rPr>
                      <a:pPr/>
                      <a:t>[分類名]</a:t>
                    </a:fld>
                    <a:r>
                      <a:rPr lang="ja-JP" altLang="en-US" baseline="0">
                        <a:solidFill>
                          <a:schemeClr val="bg1"/>
                        </a:solidFill>
                      </a:rPr>
                      <a:t>
</a:t>
                    </a:r>
                    <a:fld id="{99D92A7E-DB60-46DD-B5C4-EE2A6D5E08B0}" type="PERCENTAGE">
                      <a:rPr lang="en-US" altLang="ja-JP" baseline="0">
                        <a:solidFill>
                          <a:schemeClr val="bg1"/>
                        </a:solidFill>
                      </a:rPr>
                      <a:pPr/>
                      <a:t>[パーセンテージ]</a:t>
                    </a:fld>
                    <a:endParaRPr lang="ja-JP" altLang="en-US" baseline="0">
                      <a:solidFill>
                        <a:schemeClr val="bg1"/>
                      </a:solidFill>
                    </a:endParaRPr>
                  </a:p>
                </c:rich>
              </c:tx>
              <c:showLegendKey val="0"/>
              <c:showVal val="0"/>
              <c:showCatName val="1"/>
              <c:showSerName val="0"/>
              <c:showPercent val="1"/>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9-948E-4CD5-BA05-95BD834ED2B3}"/>
                </c:ext>
              </c:extLst>
            </c:dLbl>
            <c:dLbl>
              <c:idx val="6"/>
              <c:layout>
                <c:manualLayout>
                  <c:x val="-1.4573516618480485E-2"/>
                  <c:y val="-0.1752381583159475"/>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D-948E-4CD5-BA05-95BD834ED2B3}"/>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ea"/>
                    <a:ea typeface="+mn-ea"/>
                    <a:cs typeface="+mn-cs"/>
                  </a:defRPr>
                </a:pPr>
                <a:endParaRPr lang="ja-JP"/>
              </a:p>
            </c:txPr>
            <c:showLegendKey val="0"/>
            <c:showVal val="0"/>
            <c:showCatName val="1"/>
            <c:showSerName val="0"/>
            <c:showPercent val="1"/>
            <c:showBubbleSize val="0"/>
            <c:showLeaderLines val="1"/>
            <c:leaderLines>
              <c:spPr>
                <a:ln w="9525" cap="flat" cmpd="sng" algn="ctr">
                  <a:solidFill>
                    <a:schemeClr val="tx1"/>
                  </a:solidFill>
                  <a:round/>
                </a:ln>
                <a:effectLst/>
              </c:spPr>
            </c:leaderLines>
            <c:extLst>
              <c:ext xmlns:c15="http://schemas.microsoft.com/office/drawing/2012/chart" uri="{CE6537A1-D6FC-4f65-9D91-7224C49458BB}"/>
            </c:extLst>
          </c:dLbls>
          <c:cat>
            <c:strRef>
              <c:f>[3]管種!$B$3:$H$3</c:f>
              <c:strCache>
                <c:ptCount val="7"/>
                <c:pt idx="0">
                  <c:v>鋳鉄管</c:v>
                </c:pt>
                <c:pt idx="1">
                  <c:v>ダクタイル鋳鉄管</c:v>
                </c:pt>
                <c:pt idx="2">
                  <c:v>鋼管</c:v>
                </c:pt>
                <c:pt idx="3">
                  <c:v>石綿ｾﾒﾝﾄ管</c:v>
                </c:pt>
                <c:pt idx="4">
                  <c:v>塩化ビニル管</c:v>
                </c:pt>
                <c:pt idx="5">
                  <c:v>ポリエチレン</c:v>
                </c:pt>
                <c:pt idx="6">
                  <c:v>その他</c:v>
                </c:pt>
              </c:strCache>
            </c:strRef>
          </c:cat>
          <c:val>
            <c:numRef>
              <c:f>[3]管種!$B$4:$H$4</c:f>
              <c:numCache>
                <c:formatCode>General</c:formatCode>
                <c:ptCount val="7"/>
                <c:pt idx="0">
                  <c:v>44.009399999999999</c:v>
                </c:pt>
                <c:pt idx="1">
                  <c:v>738.62453000000005</c:v>
                </c:pt>
                <c:pt idx="2">
                  <c:v>146.26446999999999</c:v>
                </c:pt>
                <c:pt idx="3">
                  <c:v>23.049520000000001</c:v>
                </c:pt>
                <c:pt idx="4">
                  <c:v>1727.7801099999999</c:v>
                </c:pt>
                <c:pt idx="5">
                  <c:v>368.79552000000001</c:v>
                </c:pt>
                <c:pt idx="6">
                  <c:v>133.27260999999999</c:v>
                </c:pt>
              </c:numCache>
            </c:numRef>
          </c:val>
          <c:extLst>
            <c:ext xmlns:c16="http://schemas.microsoft.com/office/drawing/2014/chart" uri="{C3380CC4-5D6E-409C-BE32-E72D297353CC}">
              <c16:uniqueId val="{0000000E-948E-4CD5-BA05-95BD834ED2B3}"/>
            </c:ext>
          </c:extLst>
        </c:ser>
        <c:dLbls>
          <c:showLegendKey val="0"/>
          <c:showVal val="1"/>
          <c:showCatName val="1"/>
          <c:showSerName val="0"/>
          <c:showPercent val="0"/>
          <c:showBubbleSize val="0"/>
          <c:showLeaderLines val="1"/>
        </c:dLbls>
        <c:firstSliceAng val="0"/>
        <c:holeSize val="35"/>
      </c:doughnutChart>
      <c:spPr>
        <a:noFill/>
        <a:ln w="3175">
          <a:solidFill>
            <a:schemeClr val="bg1"/>
          </a:solidFill>
        </a:ln>
        <a:effectLst/>
      </c:spPr>
    </c:plotArea>
    <c:plotVisOnly val="1"/>
    <c:dispBlanksAs val="gap"/>
    <c:showDLblsOverMax val="0"/>
  </c:chart>
  <c:spPr>
    <a:noFill/>
    <a:ln w="9525" cap="flat" cmpd="sng" algn="ctr">
      <a:noFill/>
      <a:round/>
    </a:ln>
    <a:effectLst/>
  </c:spPr>
  <c:txPr>
    <a:bodyPr/>
    <a:lstStyle/>
    <a:p>
      <a:pPr>
        <a:defRPr/>
      </a:pPr>
      <a:endParaRPr lang="ja-JP"/>
    </a:p>
  </c:txPr>
  <c:printSettings>
    <c:headerFooter/>
    <c:pageMargins b="0.75" l="0.7" r="0.7" t="0.75" header="0.3" footer="0.3"/>
    <c:pageSetup orientation="portrait"/>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900" b="0" i="0" u="none" strike="noStrike" kern="1200" spc="0" baseline="0">
                <a:solidFill>
                  <a:sysClr val="windowText" lastClr="000000"/>
                </a:solidFill>
                <a:latin typeface="+mn-ea"/>
                <a:ea typeface="+mn-ea"/>
                <a:cs typeface="+mn-cs"/>
              </a:defRPr>
            </a:pPr>
            <a:r>
              <a:rPr lang="ja-JP" altLang="en-US" sz="900">
                <a:solidFill>
                  <a:sysClr val="windowText" lastClr="000000"/>
                </a:solidFill>
                <a:latin typeface="+mn-ea"/>
                <a:ea typeface="+mn-ea"/>
              </a:rPr>
              <a:t>上 水 道</a:t>
            </a:r>
            <a:endParaRPr lang="en-US" altLang="ja-JP" sz="900">
              <a:solidFill>
                <a:sysClr val="windowText" lastClr="000000"/>
              </a:solidFill>
              <a:latin typeface="+mn-ea"/>
              <a:ea typeface="+mn-ea"/>
            </a:endParaRPr>
          </a:p>
          <a:p>
            <a:pPr>
              <a:defRPr sz="900">
                <a:solidFill>
                  <a:sysClr val="windowText" lastClr="000000"/>
                </a:solidFill>
                <a:latin typeface="+mn-ea"/>
              </a:defRPr>
            </a:pPr>
            <a:r>
              <a:rPr lang="en-US" altLang="ja-JP" sz="900">
                <a:solidFill>
                  <a:sysClr val="windowText" lastClr="000000"/>
                </a:solidFill>
                <a:latin typeface="+mn-ea"/>
                <a:ea typeface="+mn-ea"/>
              </a:rPr>
              <a:t>20,364km</a:t>
            </a:r>
            <a:endParaRPr lang="ja-JP" altLang="en-US" sz="900">
              <a:solidFill>
                <a:sysClr val="windowText" lastClr="000000"/>
              </a:solidFill>
              <a:latin typeface="+mn-ea"/>
              <a:ea typeface="+mn-ea"/>
            </a:endParaRPr>
          </a:p>
        </c:rich>
      </c:tx>
      <c:layout>
        <c:manualLayout>
          <c:xMode val="edge"/>
          <c:yMode val="edge"/>
          <c:x val="0.42592385735786148"/>
          <c:y val="0.43365299844072652"/>
        </c:manualLayout>
      </c:layout>
      <c:overlay val="0"/>
      <c:spPr>
        <a:noFill/>
        <a:ln>
          <a:noFill/>
        </a:ln>
        <a:effectLst/>
      </c:spPr>
      <c:txPr>
        <a:bodyPr rot="0" spcFirstLastPara="1" vertOverflow="ellipsis" vert="horz" wrap="square" anchor="ctr" anchorCtr="1"/>
        <a:lstStyle/>
        <a:p>
          <a:pPr>
            <a:defRPr sz="900" b="0" i="0" u="none" strike="noStrike" kern="1200" spc="0" baseline="0">
              <a:solidFill>
                <a:sysClr val="windowText" lastClr="000000"/>
              </a:solidFill>
              <a:latin typeface="+mn-ea"/>
              <a:ea typeface="+mn-ea"/>
              <a:cs typeface="+mn-cs"/>
            </a:defRPr>
          </a:pPr>
          <a:endParaRPr lang="ja-JP"/>
        </a:p>
      </c:txPr>
    </c:title>
    <c:autoTitleDeleted val="0"/>
    <c:plotArea>
      <c:layout>
        <c:manualLayout>
          <c:layoutTarget val="inner"/>
          <c:xMode val="edge"/>
          <c:yMode val="edge"/>
          <c:x val="0.16588835929800205"/>
          <c:y val="1.5720097946728469E-2"/>
          <c:w val="0.67184818339606511"/>
          <c:h val="0.96336206279117076"/>
        </c:manualLayout>
      </c:layout>
      <c:doughnutChart>
        <c:varyColors val="1"/>
        <c:ser>
          <c:idx val="0"/>
          <c:order val="0"/>
          <c:tx>
            <c:strRef>
              <c:f>[3]管種!$A$5</c:f>
              <c:strCache>
                <c:ptCount val="1"/>
                <c:pt idx="0">
                  <c:v>上 水 道</c:v>
                </c:pt>
              </c:strCache>
            </c:strRef>
          </c:tx>
          <c:spPr>
            <a:ln w="3175">
              <a:solidFill>
                <a:schemeClr val="bg1"/>
              </a:solidFill>
            </a:ln>
          </c:spPr>
          <c:dPt>
            <c:idx val="0"/>
            <c:bubble3D val="0"/>
            <c:spPr>
              <a:solidFill>
                <a:schemeClr val="accent1"/>
              </a:solidFill>
              <a:ln w="3175">
                <a:solidFill>
                  <a:schemeClr val="bg1"/>
                </a:solidFill>
              </a:ln>
              <a:effectLst/>
            </c:spPr>
            <c:extLst>
              <c:ext xmlns:c16="http://schemas.microsoft.com/office/drawing/2014/chart" uri="{C3380CC4-5D6E-409C-BE32-E72D297353CC}">
                <c16:uniqueId val="{00000001-AA95-4ADB-A459-90914667EA3B}"/>
              </c:ext>
            </c:extLst>
          </c:dPt>
          <c:dPt>
            <c:idx val="1"/>
            <c:bubble3D val="0"/>
            <c:spPr>
              <a:solidFill>
                <a:schemeClr val="accent2"/>
              </a:solidFill>
              <a:ln w="3175">
                <a:solidFill>
                  <a:schemeClr val="bg1"/>
                </a:solidFill>
              </a:ln>
              <a:effectLst/>
            </c:spPr>
            <c:extLst>
              <c:ext xmlns:c16="http://schemas.microsoft.com/office/drawing/2014/chart" uri="{C3380CC4-5D6E-409C-BE32-E72D297353CC}">
                <c16:uniqueId val="{00000003-AA95-4ADB-A459-90914667EA3B}"/>
              </c:ext>
            </c:extLst>
          </c:dPt>
          <c:dPt>
            <c:idx val="2"/>
            <c:bubble3D val="0"/>
            <c:spPr>
              <a:solidFill>
                <a:schemeClr val="accent3"/>
              </a:solidFill>
              <a:ln w="3175">
                <a:solidFill>
                  <a:schemeClr val="bg1"/>
                </a:solidFill>
              </a:ln>
              <a:effectLst/>
            </c:spPr>
            <c:extLst>
              <c:ext xmlns:c16="http://schemas.microsoft.com/office/drawing/2014/chart" uri="{C3380CC4-5D6E-409C-BE32-E72D297353CC}">
                <c16:uniqueId val="{00000005-AA95-4ADB-A459-90914667EA3B}"/>
              </c:ext>
            </c:extLst>
          </c:dPt>
          <c:dPt>
            <c:idx val="3"/>
            <c:bubble3D val="0"/>
            <c:spPr>
              <a:solidFill>
                <a:schemeClr val="accent4"/>
              </a:solidFill>
              <a:ln w="3175">
                <a:solidFill>
                  <a:schemeClr val="bg1"/>
                </a:solidFill>
              </a:ln>
              <a:effectLst/>
            </c:spPr>
            <c:extLst>
              <c:ext xmlns:c16="http://schemas.microsoft.com/office/drawing/2014/chart" uri="{C3380CC4-5D6E-409C-BE32-E72D297353CC}">
                <c16:uniqueId val="{00000007-AA95-4ADB-A459-90914667EA3B}"/>
              </c:ext>
            </c:extLst>
          </c:dPt>
          <c:dPt>
            <c:idx val="4"/>
            <c:bubble3D val="0"/>
            <c:spPr>
              <a:solidFill>
                <a:schemeClr val="accent5"/>
              </a:solidFill>
              <a:ln w="3175">
                <a:solidFill>
                  <a:schemeClr val="bg1"/>
                </a:solidFill>
              </a:ln>
              <a:effectLst/>
            </c:spPr>
            <c:extLst>
              <c:ext xmlns:c16="http://schemas.microsoft.com/office/drawing/2014/chart" uri="{C3380CC4-5D6E-409C-BE32-E72D297353CC}">
                <c16:uniqueId val="{00000009-AA95-4ADB-A459-90914667EA3B}"/>
              </c:ext>
            </c:extLst>
          </c:dPt>
          <c:dPt>
            <c:idx val="5"/>
            <c:bubble3D val="0"/>
            <c:spPr>
              <a:solidFill>
                <a:schemeClr val="accent6"/>
              </a:solidFill>
              <a:ln w="3175">
                <a:solidFill>
                  <a:schemeClr val="bg1"/>
                </a:solidFill>
              </a:ln>
              <a:effectLst/>
            </c:spPr>
            <c:extLst>
              <c:ext xmlns:c16="http://schemas.microsoft.com/office/drawing/2014/chart" uri="{C3380CC4-5D6E-409C-BE32-E72D297353CC}">
                <c16:uniqueId val="{0000000B-AA95-4ADB-A459-90914667EA3B}"/>
              </c:ext>
            </c:extLst>
          </c:dPt>
          <c:dPt>
            <c:idx val="6"/>
            <c:bubble3D val="0"/>
            <c:spPr>
              <a:solidFill>
                <a:schemeClr val="accent1">
                  <a:lumMod val="60000"/>
                </a:schemeClr>
              </a:solidFill>
              <a:ln w="3175">
                <a:solidFill>
                  <a:schemeClr val="bg1"/>
                </a:solidFill>
              </a:ln>
              <a:effectLst/>
            </c:spPr>
            <c:extLst>
              <c:ext xmlns:c16="http://schemas.microsoft.com/office/drawing/2014/chart" uri="{C3380CC4-5D6E-409C-BE32-E72D297353CC}">
                <c16:uniqueId val="{0000000D-AA95-4ADB-A459-90914667EA3B}"/>
              </c:ext>
            </c:extLst>
          </c:dPt>
          <c:dLbls>
            <c:dLbl>
              <c:idx val="0"/>
              <c:layout>
                <c:manualLayout>
                  <c:x val="5.0748627888968396E-2"/>
                  <c:y val="-0.17624526124023235"/>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1-AA95-4ADB-A459-90914667EA3B}"/>
                </c:ext>
              </c:extLst>
            </c:dLbl>
            <c:dLbl>
              <c:idx val="2"/>
              <c:layout>
                <c:manualLayout>
                  <c:x val="-0.18849490358759691"/>
                  <c:y val="7.6592096649015548E-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5-AA95-4ADB-A459-90914667EA3B}"/>
                </c:ext>
              </c:extLst>
            </c:dLbl>
            <c:dLbl>
              <c:idx val="3"/>
              <c:layout>
                <c:manualLayout>
                  <c:x val="-0.19936960956380442"/>
                  <c:y val="-2.0656430332642115E-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7-AA95-4ADB-A459-90914667EA3B}"/>
                </c:ext>
              </c:extLst>
            </c:dLbl>
            <c:dLbl>
              <c:idx val="4"/>
              <c:tx>
                <c:rich>
                  <a:bodyPr/>
                  <a:lstStyle/>
                  <a:p>
                    <a:fld id="{C2216033-6D8E-4FC6-8757-994BB100E106}" type="CATEGORYNAME">
                      <a:rPr lang="ja-JP" altLang="en-US">
                        <a:solidFill>
                          <a:schemeClr val="bg1"/>
                        </a:solidFill>
                      </a:rPr>
                      <a:pPr/>
                      <a:t>[分類名]</a:t>
                    </a:fld>
                    <a:r>
                      <a:rPr lang="ja-JP" altLang="en-US" baseline="0">
                        <a:solidFill>
                          <a:schemeClr val="bg1"/>
                        </a:solidFill>
                      </a:rPr>
                      <a:t>
</a:t>
                    </a:r>
                    <a:fld id="{CAE7788B-6599-4043-A366-BC506E9682BA}" type="PERCENTAGE">
                      <a:rPr lang="en-US" altLang="ja-JP" baseline="0">
                        <a:solidFill>
                          <a:schemeClr val="bg1"/>
                        </a:solidFill>
                      </a:rPr>
                      <a:pPr/>
                      <a:t>[パーセンテージ]</a:t>
                    </a:fld>
                    <a:endParaRPr lang="ja-JP" altLang="en-US" baseline="0">
                      <a:solidFill>
                        <a:schemeClr val="bg1"/>
                      </a:solidFill>
                    </a:endParaRPr>
                  </a:p>
                </c:rich>
              </c:tx>
              <c:showLegendKey val="0"/>
              <c:showVal val="0"/>
              <c:showCatName val="1"/>
              <c:showSerName val="0"/>
              <c:showPercent val="1"/>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9-AA95-4ADB-A459-90914667EA3B}"/>
                </c:ext>
              </c:extLst>
            </c:dLbl>
            <c:dLbl>
              <c:idx val="6"/>
              <c:layout>
                <c:manualLayout>
                  <c:x val="-3.624901992069178E-2"/>
                  <c:y val="-0.17624526124023235"/>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D-AA95-4ADB-A459-90914667EA3B}"/>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ea"/>
                    <a:ea typeface="+mn-ea"/>
                    <a:cs typeface="+mn-cs"/>
                  </a:defRPr>
                </a:pPr>
                <a:endParaRPr lang="ja-JP"/>
              </a:p>
            </c:txPr>
            <c:showLegendKey val="0"/>
            <c:showVal val="0"/>
            <c:showCatName val="1"/>
            <c:showSerName val="0"/>
            <c:showPercent val="1"/>
            <c:showBubbleSize val="0"/>
            <c:showLeaderLines val="1"/>
            <c:leaderLines>
              <c:spPr>
                <a:ln w="9525" cap="flat" cmpd="sng" algn="ctr">
                  <a:solidFill>
                    <a:schemeClr val="tx1"/>
                  </a:solidFill>
                  <a:round/>
                </a:ln>
                <a:effectLst/>
              </c:spPr>
            </c:leaderLines>
            <c:extLst>
              <c:ext xmlns:c15="http://schemas.microsoft.com/office/drawing/2012/chart" uri="{CE6537A1-D6FC-4f65-9D91-7224C49458BB}"/>
            </c:extLst>
          </c:dLbls>
          <c:cat>
            <c:strRef>
              <c:f>[3]管種!$B$3:$H$3</c:f>
              <c:strCache>
                <c:ptCount val="7"/>
                <c:pt idx="0">
                  <c:v>鋳鉄管</c:v>
                </c:pt>
                <c:pt idx="1">
                  <c:v>ダクタイル鋳鉄管</c:v>
                </c:pt>
                <c:pt idx="2">
                  <c:v>鋼管</c:v>
                </c:pt>
                <c:pt idx="3">
                  <c:v>石綿ｾﾒﾝﾄ管</c:v>
                </c:pt>
                <c:pt idx="4">
                  <c:v>塩化ビニル管</c:v>
                </c:pt>
                <c:pt idx="5">
                  <c:v>ポリエチレン</c:v>
                </c:pt>
                <c:pt idx="6">
                  <c:v>その他</c:v>
                </c:pt>
              </c:strCache>
            </c:strRef>
          </c:cat>
          <c:val>
            <c:numRef>
              <c:f>[3]管種!$B$5:$H$5</c:f>
              <c:numCache>
                <c:formatCode>General</c:formatCode>
                <c:ptCount val="7"/>
                <c:pt idx="0">
                  <c:v>259.57900000000001</c:v>
                </c:pt>
                <c:pt idx="1">
                  <c:v>12455.877</c:v>
                </c:pt>
                <c:pt idx="2">
                  <c:v>579.11099999999999</c:v>
                </c:pt>
                <c:pt idx="3">
                  <c:v>111.608</c:v>
                </c:pt>
                <c:pt idx="4">
                  <c:v>4252.1239999999998</c:v>
                </c:pt>
                <c:pt idx="5">
                  <c:v>2300.614</c:v>
                </c:pt>
                <c:pt idx="6">
                  <c:v>405.09899999999999</c:v>
                </c:pt>
              </c:numCache>
            </c:numRef>
          </c:val>
          <c:extLst>
            <c:ext xmlns:c16="http://schemas.microsoft.com/office/drawing/2014/chart" uri="{C3380CC4-5D6E-409C-BE32-E72D297353CC}">
              <c16:uniqueId val="{0000000E-AA95-4ADB-A459-90914667EA3B}"/>
            </c:ext>
          </c:extLst>
        </c:ser>
        <c:dLbls>
          <c:showLegendKey val="0"/>
          <c:showVal val="1"/>
          <c:showCatName val="1"/>
          <c:showSerName val="0"/>
          <c:showPercent val="0"/>
          <c:showBubbleSize val="0"/>
          <c:showLeaderLines val="1"/>
        </c:dLbls>
        <c:firstSliceAng val="0"/>
        <c:holeSize val="30"/>
      </c:doughnutChart>
      <c:spPr>
        <a:noFill/>
        <a:ln>
          <a:noFill/>
        </a:ln>
        <a:effectLst/>
      </c:spPr>
    </c:plotArea>
    <c:plotVisOnly val="1"/>
    <c:dispBlanksAs val="gap"/>
    <c:showDLblsOverMax val="0"/>
  </c:chart>
  <c:spPr>
    <a:noFill/>
    <a:ln w="9525" cap="flat" cmpd="sng" algn="ctr">
      <a:noFill/>
      <a:round/>
    </a:ln>
    <a:effectLst/>
  </c:spPr>
  <c:txPr>
    <a:bodyPr/>
    <a:lstStyle/>
    <a:p>
      <a:pPr>
        <a:defRPr/>
      </a:pPr>
      <a:endParaRPr lang="ja-JP"/>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76200</xdr:colOff>
      <xdr:row>37</xdr:row>
      <xdr:rowOff>38100</xdr:rowOff>
    </xdr:from>
    <xdr:to>
      <xdr:col>8</xdr:col>
      <xdr:colOff>1133475</xdr:colOff>
      <xdr:row>56</xdr:row>
      <xdr:rowOff>19050</xdr:rowOff>
    </xdr:to>
    <xdr:graphicFrame macro="">
      <xdr:nvGraphicFramePr>
        <xdr:cNvPr id="2" name="Chart 6">
          <a:extLst>
            <a:ext uri="{FF2B5EF4-FFF2-40B4-BE49-F238E27FC236}">
              <a16:creationId xmlns:a16="http://schemas.microsoft.com/office/drawing/2014/main" id="{A3A76D6B-3F4D-4EA7-A5CC-64493C0F702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28575</xdr:colOff>
      <xdr:row>94</xdr:row>
      <xdr:rowOff>66675</xdr:rowOff>
    </xdr:from>
    <xdr:to>
      <xdr:col>8</xdr:col>
      <xdr:colOff>1152525</xdr:colOff>
      <xdr:row>112</xdr:row>
      <xdr:rowOff>142875</xdr:rowOff>
    </xdr:to>
    <xdr:graphicFrame macro="">
      <xdr:nvGraphicFramePr>
        <xdr:cNvPr id="3" name="Chart 12">
          <a:extLst>
            <a:ext uri="{FF2B5EF4-FFF2-40B4-BE49-F238E27FC236}">
              <a16:creationId xmlns:a16="http://schemas.microsoft.com/office/drawing/2014/main" id="{7F984FAC-36A0-4EE2-BEEE-455DB42B459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57150</xdr:colOff>
      <xdr:row>136</xdr:row>
      <xdr:rowOff>133350</xdr:rowOff>
    </xdr:from>
    <xdr:to>
      <xdr:col>8</xdr:col>
      <xdr:colOff>1120775</xdr:colOff>
      <xdr:row>152</xdr:row>
      <xdr:rowOff>76200</xdr:rowOff>
    </xdr:to>
    <xdr:graphicFrame macro="">
      <xdr:nvGraphicFramePr>
        <xdr:cNvPr id="4" name="Chart 13">
          <a:extLst>
            <a:ext uri="{FF2B5EF4-FFF2-40B4-BE49-F238E27FC236}">
              <a16:creationId xmlns:a16="http://schemas.microsoft.com/office/drawing/2014/main" id="{9AB4B315-EE1F-4DBD-980E-EC4E3279FEE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70</xdr:row>
      <xdr:rowOff>19050</xdr:rowOff>
    </xdr:from>
    <xdr:to>
      <xdr:col>8</xdr:col>
      <xdr:colOff>1143000</xdr:colOff>
      <xdr:row>88</xdr:row>
      <xdr:rowOff>47625</xdr:rowOff>
    </xdr:to>
    <xdr:graphicFrame macro="">
      <xdr:nvGraphicFramePr>
        <xdr:cNvPr id="5" name="Chart 17">
          <a:extLst>
            <a:ext uri="{FF2B5EF4-FFF2-40B4-BE49-F238E27FC236}">
              <a16:creationId xmlns:a16="http://schemas.microsoft.com/office/drawing/2014/main" id="{456460EA-9208-4F9C-8694-AB3F81A1AE7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116</xdr:row>
      <xdr:rowOff>178097</xdr:rowOff>
    </xdr:from>
    <xdr:to>
      <xdr:col>8</xdr:col>
      <xdr:colOff>1111250</xdr:colOff>
      <xdr:row>134</xdr:row>
      <xdr:rowOff>27794</xdr:rowOff>
    </xdr:to>
    <xdr:graphicFrame macro="">
      <xdr:nvGraphicFramePr>
        <xdr:cNvPr id="6" name="Chart 20">
          <a:extLst>
            <a:ext uri="{FF2B5EF4-FFF2-40B4-BE49-F238E27FC236}">
              <a16:creationId xmlns:a16="http://schemas.microsoft.com/office/drawing/2014/main" id="{7CBDA971-C4A3-47EE-9292-31ABA84E3C6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19050</xdr:colOff>
      <xdr:row>6</xdr:row>
      <xdr:rowOff>95250</xdr:rowOff>
    </xdr:from>
    <xdr:to>
      <xdr:col>8</xdr:col>
      <xdr:colOff>895350</xdr:colOff>
      <xdr:row>31</xdr:row>
      <xdr:rowOff>76200</xdr:rowOff>
    </xdr:to>
    <xdr:graphicFrame macro="">
      <xdr:nvGraphicFramePr>
        <xdr:cNvPr id="7" name="Chart 24">
          <a:extLst>
            <a:ext uri="{FF2B5EF4-FFF2-40B4-BE49-F238E27FC236}">
              <a16:creationId xmlns:a16="http://schemas.microsoft.com/office/drawing/2014/main" id="{87DD5642-A0C6-462C-800B-0082B2CE0DD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xdr:col>
      <xdr:colOff>95250</xdr:colOff>
      <xdr:row>12</xdr:row>
      <xdr:rowOff>9525</xdr:rowOff>
    </xdr:from>
    <xdr:to>
      <xdr:col>5</xdr:col>
      <xdr:colOff>371475</xdr:colOff>
      <xdr:row>15</xdr:row>
      <xdr:rowOff>114300</xdr:rowOff>
    </xdr:to>
    <xdr:sp macro="" textlink="">
      <xdr:nvSpPr>
        <xdr:cNvPr id="8" name="Rectangle 25">
          <a:extLst>
            <a:ext uri="{FF2B5EF4-FFF2-40B4-BE49-F238E27FC236}">
              <a16:creationId xmlns:a16="http://schemas.microsoft.com/office/drawing/2014/main" id="{453E9E85-A244-492D-9526-6F10658010C2}"/>
            </a:ext>
          </a:extLst>
        </xdr:cNvPr>
        <xdr:cNvSpPr>
          <a:spLocks noChangeArrowheads="1"/>
        </xdr:cNvSpPr>
      </xdr:nvSpPr>
      <xdr:spPr bwMode="auto">
        <a:xfrm>
          <a:off x="2609850" y="1978025"/>
          <a:ext cx="904875"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sp>
    <xdr:clientData/>
  </xdr:twoCellAnchor>
  <xdr:oneCellAnchor>
    <xdr:from>
      <xdr:col>7</xdr:col>
      <xdr:colOff>581025</xdr:colOff>
      <xdr:row>174</xdr:row>
      <xdr:rowOff>0</xdr:rowOff>
    </xdr:from>
    <xdr:ext cx="19050" cy="285750"/>
    <xdr:sp macro="" textlink="">
      <xdr:nvSpPr>
        <xdr:cNvPr id="9" name="Rectangle 43">
          <a:extLst>
            <a:ext uri="{FF2B5EF4-FFF2-40B4-BE49-F238E27FC236}">
              <a16:creationId xmlns:a16="http://schemas.microsoft.com/office/drawing/2014/main" id="{717BB2AC-58D3-4E0A-A80B-CC92DA1E297C}"/>
            </a:ext>
          </a:extLst>
        </xdr:cNvPr>
        <xdr:cNvSpPr>
          <a:spLocks noChangeArrowheads="1"/>
        </xdr:cNvSpPr>
      </xdr:nvSpPr>
      <xdr:spPr bwMode="auto">
        <a:xfrm>
          <a:off x="4981575" y="26885900"/>
          <a:ext cx="19050" cy="285750"/>
        </a:xfrm>
        <a:prstGeom prst="rect">
          <a:avLst/>
        </a:prstGeom>
        <a:noFill/>
        <a:ln w="1">
          <a:noFill/>
          <a:miter lim="800000"/>
          <a:headEnd/>
          <a:tailEnd/>
        </a:ln>
        <a:effectLst/>
      </xdr:spPr>
      <xdr:txBody>
        <a:bodyPr wrap="none" lIns="18288" tIns="18288" rIns="0" bIns="0" anchor="t" upright="1">
          <a:spAutoFit/>
        </a:bodyPr>
        <a:lstStyle/>
        <a:p>
          <a:pPr algn="l" rtl="0">
            <a:defRPr sz="1000"/>
          </a:pPr>
          <a:endParaRPr lang="ja-JP" altLang="en-US" sz="800" b="0" i="0" u="none" strike="noStrike" baseline="0">
            <a:solidFill>
              <a:srgbClr val="000000"/>
            </a:solidFill>
            <a:latin typeface="ＭＳ ゴシック"/>
            <a:ea typeface="ＭＳ ゴシック"/>
          </a:endParaRPr>
        </a:p>
        <a:p>
          <a:pPr algn="l" rtl="0">
            <a:defRPr sz="1000"/>
          </a:pPr>
          <a:endParaRPr lang="ja-JP" altLang="en-US" sz="800" b="0" i="0" u="none" strike="noStrike" baseline="0">
            <a:solidFill>
              <a:srgbClr val="000000"/>
            </a:solidFill>
            <a:latin typeface="ＭＳ ゴシック"/>
            <a:ea typeface="ＭＳ ゴシック"/>
          </a:endParaRPr>
        </a:p>
      </xdr:txBody>
    </xdr:sp>
    <xdr:clientData/>
  </xdr:oneCellAnchor>
  <xdr:twoCellAnchor>
    <xdr:from>
      <xdr:col>4</xdr:col>
      <xdr:colOff>467552</xdr:colOff>
      <xdr:row>154</xdr:row>
      <xdr:rowOff>115956</xdr:rowOff>
    </xdr:from>
    <xdr:to>
      <xdr:col>9</xdr:col>
      <xdr:colOff>3685</xdr:colOff>
      <xdr:row>174</xdr:row>
      <xdr:rowOff>33129</xdr:rowOff>
    </xdr:to>
    <xdr:graphicFrame macro="">
      <xdr:nvGraphicFramePr>
        <xdr:cNvPr id="10" name="グラフ 9">
          <a:extLst>
            <a:ext uri="{FF2B5EF4-FFF2-40B4-BE49-F238E27FC236}">
              <a16:creationId xmlns:a16="http://schemas.microsoft.com/office/drawing/2014/main" id="{D853CF66-D9FB-4B64-A5ED-5C565E7DCC2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16565</xdr:colOff>
      <xdr:row>154</xdr:row>
      <xdr:rowOff>115957</xdr:rowOff>
    </xdr:from>
    <xdr:to>
      <xdr:col>5</xdr:col>
      <xdr:colOff>82825</xdr:colOff>
      <xdr:row>174</xdr:row>
      <xdr:rowOff>16565</xdr:rowOff>
    </xdr:to>
    <xdr:graphicFrame macro="">
      <xdr:nvGraphicFramePr>
        <xdr:cNvPr id="11" name="グラフ 10">
          <a:extLst>
            <a:ext uri="{FF2B5EF4-FFF2-40B4-BE49-F238E27FC236}">
              <a16:creationId xmlns:a16="http://schemas.microsoft.com/office/drawing/2014/main" id="{2B00325F-A282-474E-B45E-7DD457DF610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xdr:col>
      <xdr:colOff>670890</xdr:colOff>
      <xdr:row>10</xdr:row>
      <xdr:rowOff>124239</xdr:rowOff>
    </xdr:from>
    <xdr:to>
      <xdr:col>3</xdr:col>
      <xdr:colOff>438977</xdr:colOff>
      <xdr:row>12</xdr:row>
      <xdr:rowOff>41412</xdr:rowOff>
    </xdr:to>
    <xdr:cxnSp macro="">
      <xdr:nvCxnSpPr>
        <xdr:cNvPr id="12" name="直線コネクタ 11">
          <a:extLst>
            <a:ext uri="{FF2B5EF4-FFF2-40B4-BE49-F238E27FC236}">
              <a16:creationId xmlns:a16="http://schemas.microsoft.com/office/drawing/2014/main" id="{5ABE3E36-D53A-4C4C-8918-071847F6791B}"/>
            </a:ext>
          </a:extLst>
        </xdr:cNvPr>
        <xdr:cNvCxnSpPr/>
      </xdr:nvCxnSpPr>
      <xdr:spPr>
        <a:xfrm flipV="1">
          <a:off x="1255090" y="1787939"/>
          <a:ext cx="1069837" cy="221973"/>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627820</xdr:colOff>
      <xdr:row>8</xdr:row>
      <xdr:rowOff>44727</xdr:rowOff>
    </xdr:from>
    <xdr:to>
      <xdr:col>4</xdr:col>
      <xdr:colOff>60739</xdr:colOff>
      <xdr:row>9</xdr:row>
      <xdr:rowOff>22087</xdr:rowOff>
    </xdr:to>
    <xdr:cxnSp macro="">
      <xdr:nvCxnSpPr>
        <xdr:cNvPr id="13" name="直線コネクタ 12">
          <a:extLst>
            <a:ext uri="{FF2B5EF4-FFF2-40B4-BE49-F238E27FC236}">
              <a16:creationId xmlns:a16="http://schemas.microsoft.com/office/drawing/2014/main" id="{4C967328-0C7B-4DC6-A84F-4BA14AA45279}"/>
            </a:ext>
          </a:extLst>
        </xdr:cNvPr>
        <xdr:cNvCxnSpPr/>
      </xdr:nvCxnSpPr>
      <xdr:spPr>
        <a:xfrm>
          <a:off x="1256470" y="1403627"/>
          <a:ext cx="1318869" cy="12976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485914</xdr:colOff>
      <xdr:row>6</xdr:row>
      <xdr:rowOff>121478</xdr:rowOff>
    </xdr:from>
    <xdr:to>
      <xdr:col>6</xdr:col>
      <xdr:colOff>552160</xdr:colOff>
      <xdr:row>9</xdr:row>
      <xdr:rowOff>138100</xdr:rowOff>
    </xdr:to>
    <xdr:sp macro="" textlink="">
      <xdr:nvSpPr>
        <xdr:cNvPr id="14" name="Rectangle 3">
          <a:extLst>
            <a:ext uri="{FF2B5EF4-FFF2-40B4-BE49-F238E27FC236}">
              <a16:creationId xmlns:a16="http://schemas.microsoft.com/office/drawing/2014/main" id="{D964376B-1075-478E-9EF8-E79B4F61FDD0}"/>
            </a:ext>
          </a:extLst>
        </xdr:cNvPr>
        <xdr:cNvSpPr>
          <a:spLocks noChangeArrowheads="1"/>
        </xdr:cNvSpPr>
      </xdr:nvSpPr>
      <xdr:spPr bwMode="auto">
        <a:xfrm>
          <a:off x="3629164" y="1175578"/>
          <a:ext cx="694896" cy="473822"/>
        </a:xfrm>
        <a:prstGeom prst="rect">
          <a:avLst/>
        </a:prstGeom>
        <a:solidFill>
          <a:schemeClr val="bg1"/>
        </a:solidFill>
        <a:ln w="1">
          <a:solidFill>
            <a:sysClr val="windowText" lastClr="000000"/>
          </a:solidFill>
          <a:miter lim="800000"/>
          <a:headEnd/>
          <a:tailEnd/>
        </a:ln>
        <a:effectLst/>
      </xdr:spPr>
      <xdr:txBody>
        <a:bodyPr wrap="square" lIns="27432" tIns="18288" rIns="27432"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rtl="0">
            <a:lnSpc>
              <a:spcPts val="1100"/>
            </a:lnSpc>
            <a:defRPr sz="1000"/>
          </a:pPr>
          <a:r>
            <a:rPr lang="ja-JP" altLang="en-US" sz="900" b="0" i="0" u="none" strike="noStrike" baseline="0">
              <a:solidFill>
                <a:srgbClr val="000000"/>
              </a:solidFill>
              <a:latin typeface="ＭＳ Ｐゴシック"/>
              <a:ea typeface="ＭＳ Ｐゴシック"/>
            </a:rPr>
            <a:t>未普及</a:t>
          </a:r>
        </a:p>
        <a:p>
          <a:pPr algn="ctr" rtl="0">
            <a:lnSpc>
              <a:spcPts val="1100"/>
            </a:lnSpc>
            <a:defRPr sz="1000"/>
          </a:pPr>
          <a:r>
            <a:rPr lang="en-US" altLang="ja-JP" sz="900" b="0" i="0" u="none" strike="noStrike" baseline="0">
              <a:solidFill>
                <a:srgbClr val="000000"/>
              </a:solidFill>
              <a:latin typeface="ＭＳ Ｐゴシック"/>
              <a:ea typeface="ＭＳ Ｐゴシック"/>
            </a:rPr>
            <a:t>19,612</a:t>
          </a:r>
          <a:r>
            <a:rPr lang="ja-JP" altLang="en-US" sz="900" b="0" i="0" u="none" strike="noStrike" baseline="0">
              <a:solidFill>
                <a:srgbClr val="000000"/>
              </a:solidFill>
              <a:latin typeface="ＭＳ Ｐゴシック"/>
              <a:ea typeface="ＭＳ Ｐゴシック"/>
            </a:rPr>
            <a:t>人</a:t>
          </a:r>
        </a:p>
        <a:p>
          <a:pPr algn="ctr" rtl="0">
            <a:lnSpc>
              <a:spcPts val="1100"/>
            </a:lnSpc>
            <a:defRPr sz="1000"/>
          </a:pPr>
          <a:r>
            <a:rPr lang="en-US" altLang="ja-JP" sz="900" b="0" i="0" u="none" strike="noStrike" baseline="0">
              <a:solidFill>
                <a:srgbClr val="000000"/>
              </a:solidFill>
              <a:latin typeface="ＭＳ Ｐゴシック"/>
              <a:ea typeface="ＭＳ Ｐゴシック"/>
            </a:rPr>
            <a:t>1.0%</a:t>
          </a:r>
        </a:p>
      </xdr:txBody>
    </xdr:sp>
    <xdr:clientData/>
  </xdr:twoCellAnchor>
  <xdr:twoCellAnchor>
    <xdr:from>
      <xdr:col>4</xdr:col>
      <xdr:colOff>99391</xdr:colOff>
      <xdr:row>8</xdr:row>
      <xdr:rowOff>11595</xdr:rowOff>
    </xdr:from>
    <xdr:to>
      <xdr:col>5</xdr:col>
      <xdr:colOff>475421</xdr:colOff>
      <xdr:row>9</xdr:row>
      <xdr:rowOff>115956</xdr:rowOff>
    </xdr:to>
    <xdr:cxnSp macro="">
      <xdr:nvCxnSpPr>
        <xdr:cNvPr id="15" name="直線コネクタ 14">
          <a:extLst>
            <a:ext uri="{FF2B5EF4-FFF2-40B4-BE49-F238E27FC236}">
              <a16:creationId xmlns:a16="http://schemas.microsoft.com/office/drawing/2014/main" id="{2F044141-F7E2-4467-8C31-4D299AC9C695}"/>
            </a:ext>
          </a:extLst>
        </xdr:cNvPr>
        <xdr:cNvCxnSpPr/>
      </xdr:nvCxnSpPr>
      <xdr:spPr>
        <a:xfrm flipV="1">
          <a:off x="2613991" y="1370495"/>
          <a:ext cx="1004680" cy="25676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369957</xdr:colOff>
      <xdr:row>6</xdr:row>
      <xdr:rowOff>127001</xdr:rowOff>
    </xdr:from>
    <xdr:to>
      <xdr:col>2</xdr:col>
      <xdr:colOff>404451</xdr:colOff>
      <xdr:row>9</xdr:row>
      <xdr:rowOff>149144</xdr:rowOff>
    </xdr:to>
    <xdr:sp macro="" textlink="">
      <xdr:nvSpPr>
        <xdr:cNvPr id="16" name="Rectangle 3">
          <a:extLst>
            <a:ext uri="{FF2B5EF4-FFF2-40B4-BE49-F238E27FC236}">
              <a16:creationId xmlns:a16="http://schemas.microsoft.com/office/drawing/2014/main" id="{350CB7A7-4E00-4EEF-8120-58DDC6CF7AAB}"/>
            </a:ext>
          </a:extLst>
        </xdr:cNvPr>
        <xdr:cNvSpPr>
          <a:spLocks noChangeArrowheads="1"/>
        </xdr:cNvSpPr>
      </xdr:nvSpPr>
      <xdr:spPr bwMode="auto">
        <a:xfrm>
          <a:off x="998607" y="1181101"/>
          <a:ext cx="663144" cy="479343"/>
        </a:xfrm>
        <a:prstGeom prst="rect">
          <a:avLst/>
        </a:prstGeom>
        <a:solidFill>
          <a:schemeClr val="bg1"/>
        </a:solidFill>
        <a:ln w="1">
          <a:solidFill>
            <a:sysClr val="windowText" lastClr="000000"/>
          </a:solidFill>
          <a:miter lim="800000"/>
          <a:headEnd/>
          <a:tailEnd/>
        </a:ln>
        <a:effectLst/>
      </xdr:spPr>
      <xdr:txBody>
        <a:bodyPr wrap="square" lIns="27432" tIns="18288" rIns="27432"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rtl="0">
            <a:lnSpc>
              <a:spcPts val="1100"/>
            </a:lnSpc>
            <a:defRPr sz="1000"/>
          </a:pPr>
          <a:r>
            <a:rPr lang="ja-JP" altLang="en-US" sz="900" b="0" i="0" u="none" strike="noStrike" baseline="0">
              <a:solidFill>
                <a:srgbClr val="000000"/>
              </a:solidFill>
              <a:latin typeface="ＭＳ Ｐゴシック"/>
              <a:ea typeface="ＭＳ Ｐゴシック"/>
            </a:rPr>
            <a:t>専用水道</a:t>
          </a:r>
        </a:p>
        <a:p>
          <a:pPr algn="ctr" rtl="0">
            <a:lnSpc>
              <a:spcPts val="1100"/>
            </a:lnSpc>
            <a:defRPr sz="1000"/>
          </a:pPr>
          <a:r>
            <a:rPr lang="en-US" altLang="ja-JP" sz="900" b="0" i="0" u="none" strike="noStrike" baseline="0">
              <a:solidFill>
                <a:srgbClr val="000000"/>
              </a:solidFill>
              <a:latin typeface="ＭＳ Ｐゴシック"/>
              <a:ea typeface="+mn-ea"/>
            </a:rPr>
            <a:t>1,831</a:t>
          </a:r>
          <a:r>
            <a:rPr lang="ja-JP" altLang="en-US" sz="900" b="0" i="0" u="none" strike="noStrike" baseline="0">
              <a:solidFill>
                <a:srgbClr val="000000"/>
              </a:solidFill>
              <a:latin typeface="ＭＳ Ｐゴシック"/>
              <a:ea typeface="ＭＳ Ｐゴシック"/>
            </a:rPr>
            <a:t>人</a:t>
          </a:r>
        </a:p>
        <a:p>
          <a:pPr algn="ctr" rtl="0">
            <a:lnSpc>
              <a:spcPts val="1000"/>
            </a:lnSpc>
            <a:defRPr sz="1000"/>
          </a:pPr>
          <a:r>
            <a:rPr lang="en-US" altLang="ja-JP" sz="900" b="0" i="0" u="none" strike="noStrike" baseline="0">
              <a:solidFill>
                <a:srgbClr val="000000"/>
              </a:solidFill>
              <a:latin typeface="ＭＳ Ｐゴシック"/>
              <a:ea typeface="ＭＳ Ｐゴシック"/>
            </a:rPr>
            <a:t>0.1%</a:t>
          </a:r>
        </a:p>
      </xdr:txBody>
    </xdr:sp>
    <xdr:clientData/>
  </xdr:twoCellAnchor>
</xdr:wsDr>
</file>

<file path=xl/drawings/drawing2.xml><?xml version="1.0" encoding="utf-8"?>
<c:userShapes xmlns:c="http://schemas.openxmlformats.org/drawingml/2006/chart">
  <cdr:relSizeAnchor xmlns:cdr="http://schemas.openxmlformats.org/drawingml/2006/chartDrawing">
    <cdr:from>
      <cdr:x>0.03413</cdr:x>
      <cdr:y>0.16058</cdr:y>
    </cdr:from>
    <cdr:to>
      <cdr:x>0.04348</cdr:x>
      <cdr:y>0.21014</cdr:y>
    </cdr:to>
    <cdr:sp macro="" textlink="">
      <cdr:nvSpPr>
        <cdr:cNvPr id="18434" name="Text Box 2"/>
        <cdr:cNvSpPr txBox="1">
          <a:spLocks xmlns:a="http://schemas.openxmlformats.org/drawingml/2006/main" noChangeArrowheads="1"/>
        </cdr:cNvSpPr>
      </cdr:nvSpPr>
      <cdr:spPr bwMode="auto">
        <a:xfrm xmlns:a="http://schemas.openxmlformats.org/drawingml/2006/main">
          <a:off x="211575" y="466633"/>
          <a:ext cx="57097" cy="143030"/>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a:lstStyle xmlns:a="http://schemas.openxmlformats.org/drawingml/2006/main"/>
        <a:p xmlns:a="http://schemas.openxmlformats.org/drawingml/2006/main">
          <a:endParaRPr lang="ja-JP" altLang="en-US"/>
        </a:p>
      </cdr:txBody>
    </cdr:sp>
  </cdr:relSizeAnchor>
  <cdr:relSizeAnchor xmlns:cdr="http://schemas.openxmlformats.org/drawingml/2006/chartDrawing">
    <cdr:from>
      <cdr:x>0.0078</cdr:x>
      <cdr:y>0.0165</cdr:y>
    </cdr:from>
    <cdr:to>
      <cdr:x>0.01715</cdr:x>
      <cdr:y>0.06606</cdr:y>
    </cdr:to>
    <cdr:sp macro="" textlink="">
      <cdr:nvSpPr>
        <cdr:cNvPr id="18438" name="Text Box 6"/>
        <cdr:cNvSpPr txBox="1">
          <a:spLocks xmlns:a="http://schemas.openxmlformats.org/drawingml/2006/main" noChangeArrowheads="1"/>
        </cdr:cNvSpPr>
      </cdr:nvSpPr>
      <cdr:spPr bwMode="auto">
        <a:xfrm xmlns:a="http://schemas.openxmlformats.org/drawingml/2006/main">
          <a:off x="50800" y="50800"/>
          <a:ext cx="57098" cy="143030"/>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a:lstStyle xmlns:a="http://schemas.openxmlformats.org/drawingml/2006/main"/>
        <a:p xmlns:a="http://schemas.openxmlformats.org/drawingml/2006/main">
          <a:endParaRPr lang="ja-JP" altLang="en-US"/>
        </a:p>
      </cdr:txBody>
    </cdr:sp>
  </cdr:relSizeAnchor>
  <cdr:relSizeAnchor xmlns:cdr="http://schemas.openxmlformats.org/drawingml/2006/chartDrawing">
    <cdr:from>
      <cdr:x>0.89402</cdr:x>
      <cdr:y>0.0165</cdr:y>
    </cdr:from>
    <cdr:to>
      <cdr:x>0.94378</cdr:x>
      <cdr:y>0.07046</cdr:y>
    </cdr:to>
    <cdr:sp macro="" textlink="">
      <cdr:nvSpPr>
        <cdr:cNvPr id="18440" name="Rectangle 8"/>
        <cdr:cNvSpPr>
          <a:spLocks xmlns:a="http://schemas.openxmlformats.org/drawingml/2006/main" noChangeArrowheads="1"/>
        </cdr:cNvSpPr>
      </cdr:nvSpPr>
      <cdr:spPr bwMode="auto">
        <a:xfrm xmlns:a="http://schemas.openxmlformats.org/drawingml/2006/main">
          <a:off x="5862001" y="46424"/>
          <a:ext cx="326273" cy="151822"/>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0" bIns="0" anchor="t" upright="1">
          <a:spAutoFit/>
        </a:bodyPr>
        <a:lstStyle xmlns:a="http://schemas.openxmlformats.org/drawingml/2006/main"/>
        <a:p xmlns:a="http://schemas.openxmlformats.org/drawingml/2006/main">
          <a:pPr algn="l" rtl="0">
            <a:defRPr sz="1000"/>
          </a:pPr>
          <a:r>
            <a:rPr lang="ja-JP" altLang="en-US" sz="800" b="0" i="0" u="none" strike="noStrike" baseline="0">
              <a:solidFill>
                <a:srgbClr val="000000"/>
              </a:solidFill>
              <a:latin typeface="ＭＳ Ｐゴシック"/>
              <a:ea typeface="ＭＳ Ｐゴシック"/>
            </a:rPr>
            <a:t>普及率</a:t>
          </a:r>
        </a:p>
      </cdr:txBody>
    </cdr:sp>
  </cdr:relSizeAnchor>
</c:userShapes>
</file>

<file path=xl/drawings/drawing3.xml><?xml version="1.0" encoding="utf-8"?>
<c:userShapes xmlns:c="http://schemas.openxmlformats.org/drawingml/2006/chart">
  <cdr:relSizeAnchor xmlns:cdr="http://schemas.openxmlformats.org/drawingml/2006/chartDrawing">
    <cdr:from>
      <cdr:x>0.17221</cdr:x>
      <cdr:y>0.43864</cdr:y>
    </cdr:from>
    <cdr:to>
      <cdr:x>0.22425</cdr:x>
      <cdr:y>0.50034</cdr:y>
    </cdr:to>
    <cdr:sp macro="" textlink="">
      <cdr:nvSpPr>
        <cdr:cNvPr id="9217" name="Text Box 1"/>
        <cdr:cNvSpPr txBox="1">
          <a:spLocks xmlns:a="http://schemas.openxmlformats.org/drawingml/2006/main" noChangeArrowheads="1"/>
        </cdr:cNvSpPr>
      </cdr:nvSpPr>
      <cdr:spPr bwMode="auto">
        <a:xfrm xmlns:a="http://schemas.openxmlformats.org/drawingml/2006/main">
          <a:off x="1140670" y="1210544"/>
          <a:ext cx="344692" cy="170278"/>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上水道</a:t>
          </a:r>
        </a:p>
      </cdr:txBody>
    </cdr:sp>
  </cdr:relSizeAnchor>
  <cdr:relSizeAnchor xmlns:cdr="http://schemas.openxmlformats.org/drawingml/2006/chartDrawing">
    <cdr:from>
      <cdr:x>0.13879</cdr:x>
      <cdr:y>0.73534</cdr:y>
    </cdr:from>
    <cdr:to>
      <cdr:x>0.26456</cdr:x>
      <cdr:y>0.81603</cdr:y>
    </cdr:to>
    <cdr:sp macro="" textlink="">
      <cdr:nvSpPr>
        <cdr:cNvPr id="9218" name="Text Box 2"/>
        <cdr:cNvSpPr txBox="1">
          <a:spLocks xmlns:a="http://schemas.openxmlformats.org/drawingml/2006/main" noChangeArrowheads="1"/>
        </cdr:cNvSpPr>
      </cdr:nvSpPr>
      <cdr:spPr bwMode="auto">
        <a:xfrm xmlns:a="http://schemas.openxmlformats.org/drawingml/2006/main">
          <a:off x="919277" y="2029356"/>
          <a:ext cx="833051" cy="222685"/>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簡易水道</a:t>
          </a:r>
        </a:p>
      </cdr:txBody>
    </cdr:sp>
  </cdr:relSizeAnchor>
</c:userShapes>
</file>

<file path=xl/drawings/drawing4.xml><?xml version="1.0" encoding="utf-8"?>
<c:userShapes xmlns:c="http://schemas.openxmlformats.org/drawingml/2006/chart">
  <cdr:relSizeAnchor xmlns:cdr="http://schemas.openxmlformats.org/drawingml/2006/chartDrawing">
    <cdr:from>
      <cdr:x>0.28788</cdr:x>
      <cdr:y>0.77112</cdr:y>
    </cdr:from>
    <cdr:to>
      <cdr:x>0.35531</cdr:x>
      <cdr:y>0.84427</cdr:y>
    </cdr:to>
    <cdr:sp macro="" textlink="">
      <cdr:nvSpPr>
        <cdr:cNvPr id="17412" name="Text Box 4"/>
        <cdr:cNvSpPr txBox="1">
          <a:spLocks xmlns:a="http://schemas.openxmlformats.org/drawingml/2006/main" noChangeArrowheads="1"/>
        </cdr:cNvSpPr>
      </cdr:nvSpPr>
      <cdr:spPr bwMode="auto">
        <a:xfrm xmlns:a="http://schemas.openxmlformats.org/drawingml/2006/main">
          <a:off x="1909530" y="1795357"/>
          <a:ext cx="447302"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消毒のみ</a:t>
          </a:r>
        </a:p>
      </cdr:txBody>
    </cdr:sp>
  </cdr:relSizeAnchor>
  <cdr:relSizeAnchor xmlns:cdr="http://schemas.openxmlformats.org/drawingml/2006/chartDrawing">
    <cdr:from>
      <cdr:x>0.5732</cdr:x>
      <cdr:y>0.77112</cdr:y>
    </cdr:from>
    <cdr:to>
      <cdr:x>0.63821</cdr:x>
      <cdr:y>0.84427</cdr:y>
    </cdr:to>
    <cdr:sp macro="" textlink="">
      <cdr:nvSpPr>
        <cdr:cNvPr id="17413" name="Text Box 5"/>
        <cdr:cNvSpPr txBox="1">
          <a:spLocks xmlns:a="http://schemas.openxmlformats.org/drawingml/2006/main" noChangeArrowheads="1"/>
        </cdr:cNvSpPr>
      </cdr:nvSpPr>
      <cdr:spPr bwMode="auto">
        <a:xfrm xmlns:a="http://schemas.openxmlformats.org/drawingml/2006/main">
          <a:off x="3802082" y="1795357"/>
          <a:ext cx="431272"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緩速ろ過</a:t>
          </a:r>
        </a:p>
      </cdr:txBody>
    </cdr:sp>
  </cdr:relSizeAnchor>
  <cdr:relSizeAnchor xmlns:cdr="http://schemas.openxmlformats.org/drawingml/2006/chartDrawing">
    <cdr:from>
      <cdr:x>0.68902</cdr:x>
      <cdr:y>0.77112</cdr:y>
    </cdr:from>
    <cdr:to>
      <cdr:x>0.75403</cdr:x>
      <cdr:y>0.84427</cdr:y>
    </cdr:to>
    <cdr:sp macro="" textlink="">
      <cdr:nvSpPr>
        <cdr:cNvPr id="17414" name="Text Box 6"/>
        <cdr:cNvSpPr txBox="1">
          <a:spLocks xmlns:a="http://schemas.openxmlformats.org/drawingml/2006/main" noChangeArrowheads="1"/>
        </cdr:cNvSpPr>
      </cdr:nvSpPr>
      <cdr:spPr bwMode="auto">
        <a:xfrm xmlns:a="http://schemas.openxmlformats.org/drawingml/2006/main">
          <a:off x="4570331" y="1795357"/>
          <a:ext cx="431272"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急速ろ過</a:t>
          </a:r>
        </a:p>
      </cdr:txBody>
    </cdr:sp>
  </cdr:relSizeAnchor>
  <cdr:relSizeAnchor xmlns:cdr="http://schemas.openxmlformats.org/drawingml/2006/chartDrawing">
    <cdr:from>
      <cdr:x>0.87784</cdr:x>
      <cdr:y>0.12845</cdr:y>
    </cdr:from>
    <cdr:to>
      <cdr:x>0.96694</cdr:x>
      <cdr:y>0.19955</cdr:y>
    </cdr:to>
    <cdr:sp macro="" textlink="">
      <cdr:nvSpPr>
        <cdr:cNvPr id="17415" name="Text Box 7"/>
        <cdr:cNvSpPr txBox="1">
          <a:spLocks xmlns:a="http://schemas.openxmlformats.org/drawingml/2006/main" noChangeArrowheads="1"/>
        </cdr:cNvSpPr>
      </cdr:nvSpPr>
      <cdr:spPr bwMode="auto">
        <a:xfrm xmlns:a="http://schemas.openxmlformats.org/drawingml/2006/main">
          <a:off x="5354683" y="307672"/>
          <a:ext cx="543482"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en-US" altLang="ja-JP" sz="800" b="0" i="0" u="none" strike="noStrike" baseline="0">
              <a:solidFill>
                <a:srgbClr val="000000"/>
              </a:solidFill>
              <a:latin typeface="ＭＳ Ｐゴシック"/>
              <a:ea typeface="ＭＳ Ｐゴシック"/>
            </a:rPr>
            <a:t>49,979</a:t>
          </a:r>
          <a:r>
            <a:rPr lang="ja-JP" altLang="en-US" sz="800" b="0" i="0" u="none" strike="noStrike" baseline="0">
              <a:solidFill>
                <a:srgbClr val="000000"/>
              </a:solidFill>
              <a:latin typeface="ＭＳ Ｐゴシック"/>
              <a:ea typeface="ＭＳ Ｐゴシック"/>
            </a:rPr>
            <a:t>千</a:t>
          </a:r>
          <a:r>
            <a:rPr lang="en-US" altLang="ja-JP" sz="800" b="0" i="0" u="none" strike="noStrike" baseline="0">
              <a:solidFill>
                <a:srgbClr val="000000"/>
              </a:solidFill>
              <a:latin typeface="ＭＳ Ｐゴシック"/>
              <a:ea typeface="ＭＳ Ｐゴシック"/>
            </a:rPr>
            <a:t>m3</a:t>
          </a:r>
        </a:p>
      </cdr:txBody>
    </cdr:sp>
  </cdr:relSizeAnchor>
  <cdr:relSizeAnchor xmlns:cdr="http://schemas.openxmlformats.org/drawingml/2006/chartDrawing">
    <cdr:from>
      <cdr:x>0.86724</cdr:x>
      <cdr:y>0.3997</cdr:y>
    </cdr:from>
    <cdr:to>
      <cdr:x>0.96474</cdr:x>
      <cdr:y>0.4708</cdr:y>
    </cdr:to>
    <cdr:sp macro="" textlink="">
      <cdr:nvSpPr>
        <cdr:cNvPr id="17416" name="Text Box 8"/>
        <cdr:cNvSpPr txBox="1">
          <a:spLocks xmlns:a="http://schemas.openxmlformats.org/drawingml/2006/main" noChangeArrowheads="1"/>
        </cdr:cNvSpPr>
      </cdr:nvSpPr>
      <cdr:spPr bwMode="auto">
        <a:xfrm xmlns:a="http://schemas.openxmlformats.org/drawingml/2006/main">
          <a:off x="5289996" y="957387"/>
          <a:ext cx="594778"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en-US" altLang="ja-JP" sz="800" b="0" i="0" u="none" strike="noStrike" baseline="0">
              <a:solidFill>
                <a:srgbClr val="000000"/>
              </a:solidFill>
              <a:latin typeface="ＭＳ Ｐゴシック"/>
              <a:ea typeface="ＭＳ Ｐゴシック"/>
            </a:rPr>
            <a:t>231,723</a:t>
          </a:r>
          <a:r>
            <a:rPr lang="ja-JP" altLang="en-US" sz="800" b="0" i="0" u="none" strike="noStrike" baseline="0">
              <a:solidFill>
                <a:srgbClr val="000000"/>
              </a:solidFill>
              <a:latin typeface="ＭＳ Ｐゴシック"/>
              <a:ea typeface="ＭＳ Ｐゴシック"/>
            </a:rPr>
            <a:t>千</a:t>
          </a:r>
          <a:r>
            <a:rPr lang="en-US" altLang="ja-JP" sz="800" b="0" i="0" u="none" strike="noStrike" baseline="0">
              <a:solidFill>
                <a:srgbClr val="000000"/>
              </a:solidFill>
              <a:latin typeface="ＭＳ Ｐゴシック"/>
              <a:ea typeface="ＭＳ Ｐゴシック"/>
            </a:rPr>
            <a:t>m3</a:t>
          </a:r>
        </a:p>
      </cdr:txBody>
    </cdr:sp>
  </cdr:relSizeAnchor>
  <cdr:relSizeAnchor xmlns:cdr="http://schemas.openxmlformats.org/drawingml/2006/chartDrawing">
    <cdr:from>
      <cdr:x>0.87784</cdr:x>
      <cdr:y>0.6535</cdr:y>
    </cdr:from>
    <cdr:to>
      <cdr:x>0.96694</cdr:x>
      <cdr:y>0.7246</cdr:y>
    </cdr:to>
    <cdr:sp macro="" textlink="">
      <cdr:nvSpPr>
        <cdr:cNvPr id="17417" name="Text Box 9"/>
        <cdr:cNvSpPr txBox="1">
          <a:spLocks xmlns:a="http://schemas.openxmlformats.org/drawingml/2006/main" noChangeArrowheads="1"/>
        </cdr:cNvSpPr>
      </cdr:nvSpPr>
      <cdr:spPr bwMode="auto">
        <a:xfrm xmlns:a="http://schemas.openxmlformats.org/drawingml/2006/main">
          <a:off x="5354683" y="1565304"/>
          <a:ext cx="543482"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en-US" altLang="ja-JP" sz="800" b="0" i="0" u="none" strike="noStrike" baseline="0">
              <a:solidFill>
                <a:srgbClr val="000000"/>
              </a:solidFill>
              <a:latin typeface="ＭＳ Ｐゴシック"/>
              <a:ea typeface="ＭＳ Ｐゴシック"/>
            </a:rPr>
            <a:t>20,919</a:t>
          </a:r>
          <a:r>
            <a:rPr lang="ja-JP" altLang="en-US" sz="800" b="0" i="0" u="none" strike="noStrike" baseline="0">
              <a:solidFill>
                <a:srgbClr val="000000"/>
              </a:solidFill>
              <a:latin typeface="ＭＳ Ｐゴシック"/>
              <a:ea typeface="ＭＳ Ｐゴシック"/>
            </a:rPr>
            <a:t>千</a:t>
          </a:r>
          <a:r>
            <a:rPr lang="en-US" altLang="ja-JP" sz="800" b="0" i="0" u="none" strike="noStrike" baseline="0">
              <a:solidFill>
                <a:srgbClr val="000000"/>
              </a:solidFill>
              <a:latin typeface="ＭＳ Ｐゴシック"/>
              <a:ea typeface="ＭＳ Ｐゴシック"/>
            </a:rPr>
            <a:t>m3</a:t>
          </a:r>
        </a:p>
      </cdr:txBody>
    </cdr:sp>
  </cdr:relSizeAnchor>
  <cdr:relSizeAnchor xmlns:cdr="http://schemas.openxmlformats.org/drawingml/2006/chartDrawing">
    <cdr:from>
      <cdr:x>0.84574</cdr:x>
      <cdr:y>0.02825</cdr:y>
    </cdr:from>
    <cdr:to>
      <cdr:x>0.99486</cdr:x>
      <cdr:y>0.11865</cdr:y>
    </cdr:to>
    <cdr:sp macro="" textlink="">
      <cdr:nvSpPr>
        <cdr:cNvPr id="17418" name="Text Box 10"/>
        <cdr:cNvSpPr txBox="1">
          <a:spLocks xmlns:a="http://schemas.openxmlformats.org/drawingml/2006/main" noChangeArrowheads="1"/>
        </cdr:cNvSpPr>
      </cdr:nvSpPr>
      <cdr:spPr bwMode="auto">
        <a:xfrm xmlns:a="http://schemas.openxmlformats.org/drawingml/2006/main">
          <a:off x="5609901" y="62907"/>
          <a:ext cx="989132" cy="201308"/>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年間浄水量</a:t>
          </a:r>
        </a:p>
        <a:p xmlns:a="http://schemas.openxmlformats.org/drawingml/2006/main">
          <a:pPr algn="ctr" rtl="0">
            <a:defRPr sz="1000"/>
          </a:pPr>
          <a:endParaRPr lang="ja-JP" altLang="en-US" sz="800" b="0" i="0" u="none" strike="noStrike" baseline="0">
            <a:solidFill>
              <a:srgbClr val="000000"/>
            </a:solidFill>
            <a:latin typeface="ＭＳ Ｐゴシック"/>
            <a:ea typeface="ＭＳ Ｐゴシック"/>
          </a:endParaRPr>
        </a:p>
      </cdr:txBody>
    </cdr:sp>
  </cdr:relSizeAnchor>
  <cdr:relSizeAnchor xmlns:cdr="http://schemas.openxmlformats.org/drawingml/2006/chartDrawing">
    <cdr:from>
      <cdr:x>0.00785</cdr:x>
      <cdr:y>0.02825</cdr:y>
    </cdr:from>
    <cdr:to>
      <cdr:x>0.13187</cdr:x>
      <cdr:y>0.34173</cdr:y>
    </cdr:to>
    <cdr:sp macro="" textlink="">
      <cdr:nvSpPr>
        <cdr:cNvPr id="17419" name="Text Box 11"/>
        <cdr:cNvSpPr txBox="1">
          <a:spLocks xmlns:a="http://schemas.openxmlformats.org/drawingml/2006/main" noChangeArrowheads="1"/>
        </cdr:cNvSpPr>
      </cdr:nvSpPr>
      <cdr:spPr bwMode="auto">
        <a:xfrm xmlns:a="http://schemas.openxmlformats.org/drawingml/2006/main">
          <a:off x="50800" y="50800"/>
          <a:ext cx="752494" cy="528502"/>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a:lstStyle xmlns:a="http://schemas.openxmlformats.org/drawingml/2006/main"/>
        <a:p xmlns:a="http://schemas.openxmlformats.org/drawingml/2006/main">
          <a:endParaRPr lang="ja-JP" altLang="en-US"/>
        </a:p>
      </cdr:txBody>
    </cdr:sp>
  </cdr:relSizeAnchor>
  <cdr:relSizeAnchor xmlns:cdr="http://schemas.openxmlformats.org/drawingml/2006/chartDrawing">
    <cdr:from>
      <cdr:x>0.81967</cdr:x>
      <cdr:y>0.76694</cdr:y>
    </cdr:from>
    <cdr:to>
      <cdr:x>0.86922</cdr:x>
      <cdr:y>0.84009</cdr:y>
    </cdr:to>
    <cdr:sp macro="" textlink="">
      <cdr:nvSpPr>
        <cdr:cNvPr id="17420" name="Text Box 12"/>
        <cdr:cNvSpPr txBox="1">
          <a:spLocks xmlns:a="http://schemas.openxmlformats.org/drawingml/2006/main" noChangeArrowheads="1"/>
        </cdr:cNvSpPr>
      </cdr:nvSpPr>
      <cdr:spPr bwMode="auto">
        <a:xfrm xmlns:a="http://schemas.openxmlformats.org/drawingml/2006/main">
          <a:off x="5436971" y="1785625"/>
          <a:ext cx="328680"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膜ろ過</a:t>
          </a:r>
        </a:p>
      </cdr:txBody>
    </cdr:sp>
  </cdr:relSizeAnchor>
  <cdr:relSizeAnchor xmlns:cdr="http://schemas.openxmlformats.org/drawingml/2006/chartDrawing">
    <cdr:from>
      <cdr:x>0.61809</cdr:x>
      <cdr:y>0.94099</cdr:y>
    </cdr:from>
    <cdr:to>
      <cdr:x>0.90916</cdr:x>
      <cdr:y>0.99288</cdr:y>
    </cdr:to>
    <cdr:sp macro="" textlink="">
      <cdr:nvSpPr>
        <cdr:cNvPr id="11" name="Text Box 10"/>
        <cdr:cNvSpPr txBox="1">
          <a:spLocks xmlns:a="http://schemas.openxmlformats.org/drawingml/2006/main" noChangeArrowheads="1"/>
        </cdr:cNvSpPr>
      </cdr:nvSpPr>
      <cdr:spPr bwMode="auto">
        <a:xfrm xmlns:a="http://schemas.openxmlformats.org/drawingml/2006/main">
          <a:off x="4099890" y="2189297"/>
          <a:ext cx="1930677" cy="120721"/>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square" lIns="27432" tIns="18288" rIns="27432" bIns="18288" anchor="ctr" upright="1"/>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＊紫外線処理は消毒のみに算入</a:t>
          </a:r>
        </a:p>
      </cdr:txBody>
    </cdr:sp>
  </cdr:relSizeAnchor>
</c:userShapes>
</file>

<file path=xl/drawings/drawing5.xml><?xml version="1.0" encoding="utf-8"?>
<c:userShapes xmlns:c="http://schemas.openxmlformats.org/drawingml/2006/chart">
  <cdr:relSizeAnchor xmlns:cdr="http://schemas.openxmlformats.org/drawingml/2006/chartDrawing">
    <cdr:from>
      <cdr:x>0.16494</cdr:x>
      <cdr:y>0.21208</cdr:y>
    </cdr:from>
    <cdr:to>
      <cdr:x>0.20138</cdr:x>
      <cdr:y>0.27487</cdr:y>
    </cdr:to>
    <cdr:sp macro="" textlink="">
      <cdr:nvSpPr>
        <cdr:cNvPr id="27649" name="Text Box 1"/>
        <cdr:cNvSpPr txBox="1">
          <a:spLocks xmlns:a="http://schemas.openxmlformats.org/drawingml/2006/main" noChangeArrowheads="1"/>
        </cdr:cNvSpPr>
      </cdr:nvSpPr>
      <cdr:spPr bwMode="auto">
        <a:xfrm xmlns:a="http://schemas.openxmlformats.org/drawingml/2006/main">
          <a:off x="1095609" y="575187"/>
          <a:ext cx="242118"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合計</a:t>
          </a:r>
        </a:p>
      </cdr:txBody>
    </cdr:sp>
  </cdr:relSizeAnchor>
  <cdr:relSizeAnchor xmlns:cdr="http://schemas.openxmlformats.org/drawingml/2006/chartDrawing">
    <cdr:from>
      <cdr:x>0.14263</cdr:x>
      <cdr:y>0.40428</cdr:y>
    </cdr:from>
    <cdr:to>
      <cdr:x>0.20997</cdr:x>
      <cdr:y>0.46707</cdr:y>
    </cdr:to>
    <cdr:sp macro="" textlink="">
      <cdr:nvSpPr>
        <cdr:cNvPr id="27650" name="Text Box 2"/>
        <cdr:cNvSpPr txBox="1">
          <a:spLocks xmlns:a="http://schemas.openxmlformats.org/drawingml/2006/main" noChangeArrowheads="1"/>
        </cdr:cNvSpPr>
      </cdr:nvSpPr>
      <cdr:spPr bwMode="auto">
        <a:xfrm xmlns:a="http://schemas.openxmlformats.org/drawingml/2006/main">
          <a:off x="878628" y="1126938"/>
          <a:ext cx="414825" cy="175030"/>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簡易水道</a:t>
          </a:r>
        </a:p>
      </cdr:txBody>
    </cdr:sp>
  </cdr:relSizeAnchor>
  <cdr:relSizeAnchor xmlns:cdr="http://schemas.openxmlformats.org/drawingml/2006/chartDrawing">
    <cdr:from>
      <cdr:x>0.61961</cdr:x>
      <cdr:y>0.55762</cdr:y>
    </cdr:from>
    <cdr:to>
      <cdr:x>0.6715</cdr:x>
      <cdr:y>0.62042</cdr:y>
    </cdr:to>
    <cdr:sp macro="" textlink="">
      <cdr:nvSpPr>
        <cdr:cNvPr id="27651" name="Text Box 3"/>
        <cdr:cNvSpPr txBox="1">
          <a:spLocks xmlns:a="http://schemas.openxmlformats.org/drawingml/2006/main" noChangeArrowheads="1"/>
        </cdr:cNvSpPr>
      </cdr:nvSpPr>
      <cdr:spPr bwMode="auto">
        <a:xfrm xmlns:a="http://schemas.openxmlformats.org/drawingml/2006/main">
          <a:off x="3816922" y="1554381"/>
          <a:ext cx="319651" cy="175058"/>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上水道</a:t>
          </a:r>
        </a:p>
      </cdr:txBody>
    </cdr:sp>
  </cdr:relSizeAnchor>
  <cdr:relSizeAnchor xmlns:cdr="http://schemas.openxmlformats.org/drawingml/2006/chartDrawing">
    <cdr:from>
      <cdr:x>0.66405</cdr:x>
      <cdr:y>0.69016</cdr:y>
    </cdr:from>
    <cdr:to>
      <cdr:x>0.73139</cdr:x>
      <cdr:y>0.75295</cdr:y>
    </cdr:to>
    <cdr:sp macro="" textlink="">
      <cdr:nvSpPr>
        <cdr:cNvPr id="27652" name="Text Box 4"/>
        <cdr:cNvSpPr txBox="1">
          <a:spLocks xmlns:a="http://schemas.openxmlformats.org/drawingml/2006/main" noChangeArrowheads="1"/>
        </cdr:cNvSpPr>
      </cdr:nvSpPr>
      <cdr:spPr bwMode="auto">
        <a:xfrm xmlns:a="http://schemas.openxmlformats.org/drawingml/2006/main">
          <a:off x="4090638" y="1923851"/>
          <a:ext cx="414825" cy="175030"/>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専用水道</a:t>
          </a:r>
        </a:p>
      </cdr:txBody>
    </cdr:sp>
  </cdr:relSizeAnchor>
</c:userShapes>
</file>

<file path=xl/drawings/drawing6.xml><?xml version="1.0" encoding="utf-8"?>
<c:userShapes xmlns:c="http://schemas.openxmlformats.org/drawingml/2006/chart">
  <cdr:relSizeAnchor xmlns:cdr="http://schemas.openxmlformats.org/drawingml/2006/chartDrawing">
    <cdr:from>
      <cdr:x>0.87713</cdr:x>
      <cdr:y>0.09956</cdr:y>
    </cdr:from>
    <cdr:to>
      <cdr:x>0.96553</cdr:x>
      <cdr:y>0.16395</cdr:y>
    </cdr:to>
    <cdr:sp macro="" textlink="">
      <cdr:nvSpPr>
        <cdr:cNvPr id="65537" name="Text Box 1025"/>
        <cdr:cNvSpPr txBox="1">
          <a:spLocks xmlns:a="http://schemas.openxmlformats.org/drawingml/2006/main" noChangeArrowheads="1"/>
        </cdr:cNvSpPr>
      </cdr:nvSpPr>
      <cdr:spPr bwMode="auto">
        <a:xfrm xmlns:a="http://schemas.openxmlformats.org/drawingml/2006/main">
          <a:off x="5392095" y="263297"/>
          <a:ext cx="543482"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en-US" altLang="ja-JP" sz="800" b="0" i="0" u="none" strike="noStrike" baseline="0">
              <a:solidFill>
                <a:srgbClr val="000000"/>
              </a:solidFill>
              <a:latin typeface="ＭＳ Ｐゴシック"/>
              <a:ea typeface="ＭＳ Ｐゴシック"/>
            </a:rPr>
            <a:t>50,606</a:t>
          </a:r>
          <a:r>
            <a:rPr lang="ja-JP" altLang="en-US" sz="800" b="0" i="0" u="none" strike="noStrike" baseline="0">
              <a:solidFill>
                <a:srgbClr val="000000"/>
              </a:solidFill>
              <a:latin typeface="ＭＳ Ｐゴシック"/>
              <a:ea typeface="ＭＳ Ｐゴシック"/>
            </a:rPr>
            <a:t>千</a:t>
          </a:r>
          <a:r>
            <a:rPr lang="en-US" altLang="ja-JP" sz="800" b="0" i="0" u="none" strike="noStrike" baseline="0">
              <a:solidFill>
                <a:srgbClr val="000000"/>
              </a:solidFill>
              <a:latin typeface="ＭＳ Ｐゴシック"/>
              <a:ea typeface="ＭＳ Ｐゴシック"/>
            </a:rPr>
            <a:t>m3</a:t>
          </a:r>
        </a:p>
      </cdr:txBody>
    </cdr:sp>
  </cdr:relSizeAnchor>
  <cdr:relSizeAnchor xmlns:cdr="http://schemas.openxmlformats.org/drawingml/2006/chartDrawing">
    <cdr:from>
      <cdr:x>0.86668</cdr:x>
      <cdr:y>0.2496</cdr:y>
    </cdr:from>
    <cdr:to>
      <cdr:x>0.96343</cdr:x>
      <cdr:y>0.31399</cdr:y>
    </cdr:to>
    <cdr:sp macro="" textlink="">
      <cdr:nvSpPr>
        <cdr:cNvPr id="65538" name="Text Box 1026"/>
        <cdr:cNvSpPr txBox="1">
          <a:spLocks xmlns:a="http://schemas.openxmlformats.org/drawingml/2006/main" noChangeArrowheads="1"/>
        </cdr:cNvSpPr>
      </cdr:nvSpPr>
      <cdr:spPr bwMode="auto">
        <a:xfrm xmlns:a="http://schemas.openxmlformats.org/drawingml/2006/main">
          <a:off x="5327872" y="660103"/>
          <a:ext cx="594778"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en-US" altLang="ja-JP" sz="800" b="0" i="0" u="none" strike="noStrike" baseline="0">
              <a:solidFill>
                <a:srgbClr val="000000"/>
              </a:solidFill>
              <a:latin typeface="ＭＳ Ｐゴシック"/>
              <a:ea typeface="ＭＳ Ｐゴシック"/>
            </a:rPr>
            <a:t>296,117</a:t>
          </a:r>
          <a:r>
            <a:rPr lang="ja-JP" altLang="en-US" sz="800" b="0" i="0" u="none" strike="noStrike" baseline="0">
              <a:solidFill>
                <a:srgbClr val="000000"/>
              </a:solidFill>
              <a:latin typeface="ＭＳ Ｐゴシック"/>
              <a:ea typeface="ＭＳ Ｐゴシック"/>
            </a:rPr>
            <a:t>千</a:t>
          </a:r>
          <a:r>
            <a:rPr lang="en-US" altLang="ja-JP" sz="800" b="0" i="0" u="none" strike="noStrike" baseline="0">
              <a:solidFill>
                <a:srgbClr val="000000"/>
              </a:solidFill>
              <a:latin typeface="ＭＳ Ｐゴシック"/>
              <a:ea typeface="ＭＳ Ｐゴシック"/>
            </a:rPr>
            <a:t>m3</a:t>
          </a:r>
        </a:p>
      </cdr:txBody>
    </cdr:sp>
  </cdr:relSizeAnchor>
  <cdr:relSizeAnchor xmlns:cdr="http://schemas.openxmlformats.org/drawingml/2006/chartDrawing">
    <cdr:from>
      <cdr:x>0.87713</cdr:x>
      <cdr:y>0.40037</cdr:y>
    </cdr:from>
    <cdr:to>
      <cdr:x>0.96553</cdr:x>
      <cdr:y>0.46476</cdr:y>
    </cdr:to>
    <cdr:sp macro="" textlink="">
      <cdr:nvSpPr>
        <cdr:cNvPr id="65539" name="Text Box 1027"/>
        <cdr:cNvSpPr txBox="1">
          <a:spLocks xmlns:a="http://schemas.openxmlformats.org/drawingml/2006/main" noChangeArrowheads="1"/>
        </cdr:cNvSpPr>
      </cdr:nvSpPr>
      <cdr:spPr bwMode="auto">
        <a:xfrm xmlns:a="http://schemas.openxmlformats.org/drawingml/2006/main">
          <a:off x="5392095" y="1058839"/>
          <a:ext cx="543482"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en-US" altLang="ja-JP" sz="800" b="0" i="0" u="none" strike="noStrike" baseline="0">
              <a:solidFill>
                <a:srgbClr val="000000"/>
              </a:solidFill>
              <a:latin typeface="ＭＳ Ｐゴシック"/>
              <a:ea typeface="ＭＳ Ｐゴシック"/>
            </a:rPr>
            <a:t>24,165</a:t>
          </a:r>
          <a:r>
            <a:rPr lang="ja-JP" altLang="en-US" sz="800" b="0" i="0" u="none" strike="noStrike" baseline="0">
              <a:solidFill>
                <a:srgbClr val="000000"/>
              </a:solidFill>
              <a:latin typeface="ＭＳ Ｐゴシック"/>
              <a:ea typeface="ＭＳ Ｐゴシック"/>
            </a:rPr>
            <a:t>千</a:t>
          </a:r>
          <a:r>
            <a:rPr lang="en-US" altLang="ja-JP" sz="800" b="0" i="0" u="none" strike="noStrike" baseline="0">
              <a:solidFill>
                <a:srgbClr val="000000"/>
              </a:solidFill>
              <a:latin typeface="ＭＳ Ｐゴシック"/>
              <a:ea typeface="ＭＳ Ｐゴシック"/>
            </a:rPr>
            <a:t>m3</a:t>
          </a:r>
        </a:p>
      </cdr:txBody>
    </cdr:sp>
  </cdr:relSizeAnchor>
  <cdr:relSizeAnchor xmlns:cdr="http://schemas.openxmlformats.org/drawingml/2006/chartDrawing">
    <cdr:from>
      <cdr:x>0.86668</cdr:x>
      <cdr:y>0.56486</cdr:y>
    </cdr:from>
    <cdr:to>
      <cdr:x>0.96343</cdr:x>
      <cdr:y>0.62925</cdr:y>
    </cdr:to>
    <cdr:sp macro="" textlink="">
      <cdr:nvSpPr>
        <cdr:cNvPr id="65540" name="Text Box 1028"/>
        <cdr:cNvSpPr txBox="1">
          <a:spLocks xmlns:a="http://schemas.openxmlformats.org/drawingml/2006/main" noChangeArrowheads="1"/>
        </cdr:cNvSpPr>
      </cdr:nvSpPr>
      <cdr:spPr bwMode="auto">
        <a:xfrm xmlns:a="http://schemas.openxmlformats.org/drawingml/2006/main">
          <a:off x="5327872" y="1493860"/>
          <a:ext cx="594778"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en-US" altLang="ja-JP" sz="800" b="0" i="0" u="none" strike="noStrike" baseline="0">
              <a:solidFill>
                <a:srgbClr val="000000"/>
              </a:solidFill>
              <a:latin typeface="ＭＳ Ｐゴシック"/>
              <a:ea typeface="ＭＳ Ｐゴシック"/>
            </a:rPr>
            <a:t>320,592</a:t>
          </a:r>
          <a:r>
            <a:rPr lang="ja-JP" altLang="en-US" sz="800" b="0" i="0" u="none" strike="noStrike" baseline="0">
              <a:solidFill>
                <a:srgbClr val="000000"/>
              </a:solidFill>
              <a:latin typeface="ＭＳ Ｐゴシック"/>
              <a:ea typeface="ＭＳ Ｐゴシック"/>
            </a:rPr>
            <a:t>千</a:t>
          </a:r>
          <a:r>
            <a:rPr lang="en-US" altLang="ja-JP" sz="800" b="0" i="0" u="none" strike="noStrike" baseline="0">
              <a:solidFill>
                <a:srgbClr val="000000"/>
              </a:solidFill>
              <a:latin typeface="ＭＳ Ｐゴシック"/>
              <a:ea typeface="ＭＳ Ｐゴシック"/>
            </a:rPr>
            <a:t>m3</a:t>
          </a:r>
        </a:p>
      </cdr:txBody>
    </cdr:sp>
  </cdr:relSizeAnchor>
  <cdr:relSizeAnchor xmlns:cdr="http://schemas.openxmlformats.org/drawingml/2006/chartDrawing">
    <cdr:from>
      <cdr:x>0.87846</cdr:x>
      <cdr:y>0.02539</cdr:y>
    </cdr:from>
    <cdr:to>
      <cdr:x>0.961</cdr:x>
      <cdr:y>0.09168</cdr:y>
    </cdr:to>
    <cdr:sp macro="" textlink="">
      <cdr:nvSpPr>
        <cdr:cNvPr id="65541" name="Text Box 1029"/>
        <cdr:cNvSpPr txBox="1">
          <a:spLocks xmlns:a="http://schemas.openxmlformats.org/drawingml/2006/main" noChangeArrowheads="1"/>
        </cdr:cNvSpPr>
      </cdr:nvSpPr>
      <cdr:spPr bwMode="auto">
        <a:xfrm xmlns:a="http://schemas.openxmlformats.org/drawingml/2006/main">
          <a:off x="5852020" y="65241"/>
          <a:ext cx="549894" cy="170303"/>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年間取水量</a:t>
          </a:r>
        </a:p>
      </cdr:txBody>
    </cdr:sp>
  </cdr:relSizeAnchor>
  <cdr:relSizeAnchor xmlns:cdr="http://schemas.openxmlformats.org/drawingml/2006/chartDrawing">
    <cdr:from>
      <cdr:x>0.42482</cdr:x>
      <cdr:y>0.90937</cdr:y>
    </cdr:from>
    <cdr:to>
      <cdr:x>0.99463</cdr:x>
      <cdr:y>0.99367</cdr:y>
    </cdr:to>
    <cdr:sp macro="" textlink="">
      <cdr:nvSpPr>
        <cdr:cNvPr id="65542" name="Text Box 1030"/>
        <cdr:cNvSpPr txBox="1">
          <a:spLocks xmlns:a="http://schemas.openxmlformats.org/drawingml/2006/main" noChangeArrowheads="1"/>
        </cdr:cNvSpPr>
      </cdr:nvSpPr>
      <cdr:spPr bwMode="auto">
        <a:xfrm xmlns:a="http://schemas.openxmlformats.org/drawingml/2006/main">
          <a:off x="2694884" y="2407962"/>
          <a:ext cx="3614675" cy="223222"/>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ゴシック"/>
              <a:ea typeface="ＭＳ Ｐゴシック"/>
            </a:rPr>
            <a:t>＊上水道及び簡易水道の受水量は合計から除く</a:t>
          </a:r>
        </a:p>
      </cdr:txBody>
    </cdr:sp>
  </cdr:relSizeAnchor>
</c:userShapes>
</file>

<file path=xl/drawings/drawing7.xml><?xml version="1.0" encoding="utf-8"?>
<c:userShapes xmlns:c="http://schemas.openxmlformats.org/drawingml/2006/chart">
  <cdr:relSizeAnchor xmlns:cdr="http://schemas.openxmlformats.org/drawingml/2006/chartDrawing">
    <cdr:from>
      <cdr:x>0.36228</cdr:x>
      <cdr:y>0.36432</cdr:y>
    </cdr:from>
    <cdr:to>
      <cdr:x>0.53593</cdr:x>
      <cdr:y>0.67839</cdr:y>
    </cdr:to>
    <cdr:sp macro="" textlink="">
      <cdr:nvSpPr>
        <cdr:cNvPr id="173057" name="Rectangle 1"/>
        <cdr:cNvSpPr>
          <a:spLocks xmlns:a="http://schemas.openxmlformats.org/drawingml/2006/main" noChangeArrowheads="1"/>
        </cdr:cNvSpPr>
      </cdr:nvSpPr>
      <cdr:spPr bwMode="auto">
        <a:xfrm xmlns:a="http://schemas.openxmlformats.org/drawingml/2006/main">
          <a:off x="2305079" y="1381126"/>
          <a:ext cx="1104883" cy="1190624"/>
        </a:xfrm>
        <a:prstGeom xmlns:a="http://schemas.openxmlformats.org/drawingml/2006/main" prst="rect">
          <a:avLst/>
        </a:prstGeom>
        <a:solidFill xmlns:a="http://schemas.openxmlformats.org/drawingml/2006/main">
          <a:sysClr val="window" lastClr="FFFFFF"/>
        </a:solidFill>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lnSpc>
              <a:spcPts val="1200"/>
            </a:lnSpc>
            <a:defRPr sz="1000"/>
          </a:pPr>
          <a:r>
            <a:rPr lang="ja-JP" altLang="en-US" sz="1050" b="0" i="0" u="none" strike="noStrike" baseline="0">
              <a:solidFill>
                <a:srgbClr val="000000"/>
              </a:solidFill>
              <a:latin typeface="ＭＳ Ｐゴシック"/>
              <a:ea typeface="ＭＳ Ｐゴシック"/>
            </a:rPr>
            <a:t>県内総人口</a:t>
          </a:r>
        </a:p>
        <a:p xmlns:a="http://schemas.openxmlformats.org/drawingml/2006/main">
          <a:pPr algn="ctr" rtl="0">
            <a:lnSpc>
              <a:spcPts val="1200"/>
            </a:lnSpc>
            <a:defRPr sz="1000"/>
          </a:pPr>
          <a:r>
            <a:rPr lang="en-US" altLang="ja-JP" sz="1050" b="0" i="0" u="none" strike="noStrike" baseline="0">
              <a:solidFill>
                <a:srgbClr val="000000"/>
              </a:solidFill>
              <a:latin typeface="ＭＳ Ｐゴシック"/>
              <a:ea typeface="+mn-ea"/>
            </a:rPr>
            <a:t>2,022,222</a:t>
          </a:r>
          <a:r>
            <a:rPr lang="ja-JP" altLang="en-US" sz="1050" b="0" i="0" u="none" strike="noStrike" baseline="0">
              <a:solidFill>
                <a:srgbClr val="000000"/>
              </a:solidFill>
              <a:latin typeface="ＭＳ Ｐゴシック"/>
              <a:ea typeface="+mn-ea"/>
            </a:rPr>
            <a:t>人</a:t>
          </a:r>
          <a:endParaRPr lang="ja-JP" altLang="en-US" sz="1050" b="0"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r>
            <a:rPr lang="ja-JP" altLang="en-US" sz="1050" b="0" i="0" u="none" strike="noStrike" baseline="0">
              <a:solidFill>
                <a:srgbClr val="000000"/>
              </a:solidFill>
              <a:latin typeface="ＭＳ Ｐゴシック"/>
              <a:ea typeface="ＭＳ Ｐゴシック"/>
            </a:rPr>
            <a:t>県内給水人口</a:t>
          </a:r>
        </a:p>
        <a:p xmlns:a="http://schemas.openxmlformats.org/drawingml/2006/main">
          <a:pPr algn="ctr" rtl="0">
            <a:lnSpc>
              <a:spcPts val="1300"/>
            </a:lnSpc>
            <a:defRPr sz="1000"/>
          </a:pPr>
          <a:r>
            <a:rPr lang="en-US" altLang="ja-JP" sz="1050" b="0" i="0" u="none" strike="noStrike" baseline="0">
              <a:solidFill>
                <a:srgbClr val="000000"/>
              </a:solidFill>
              <a:latin typeface="ＭＳ Ｐゴシック"/>
              <a:ea typeface="+mn-ea"/>
            </a:rPr>
            <a:t>2,002,610</a:t>
          </a:r>
          <a:r>
            <a:rPr lang="ja-JP" altLang="en-US" sz="1050" b="0" i="0" u="none" strike="noStrike" baseline="0">
              <a:solidFill>
                <a:srgbClr val="000000"/>
              </a:solidFill>
              <a:latin typeface="ＭＳ Ｐゴシック"/>
              <a:ea typeface="ＭＳ Ｐゴシック"/>
            </a:rPr>
            <a:t>人</a:t>
          </a:r>
        </a:p>
        <a:p xmlns:a="http://schemas.openxmlformats.org/drawingml/2006/main">
          <a:pPr algn="ctr" rtl="0">
            <a:lnSpc>
              <a:spcPts val="1200"/>
            </a:lnSpc>
            <a:defRPr sz="1000"/>
          </a:pPr>
          <a:r>
            <a:rPr lang="ja-JP" altLang="en-US" sz="1050" b="0" i="0" u="none" strike="noStrike" baseline="0">
              <a:solidFill>
                <a:srgbClr val="000000"/>
              </a:solidFill>
              <a:latin typeface="ＭＳ Ｐゴシック"/>
              <a:ea typeface="ＭＳ Ｐゴシック"/>
            </a:rPr>
            <a:t>普及率</a:t>
          </a:r>
        </a:p>
        <a:p xmlns:a="http://schemas.openxmlformats.org/drawingml/2006/main">
          <a:pPr algn="ctr" rtl="0">
            <a:lnSpc>
              <a:spcPts val="1200"/>
            </a:lnSpc>
            <a:defRPr sz="1000"/>
          </a:pPr>
          <a:r>
            <a:rPr lang="en-US" altLang="ja-JP" sz="1050" b="0" i="0" u="none" strike="noStrike" baseline="0">
              <a:solidFill>
                <a:srgbClr val="000000"/>
              </a:solidFill>
              <a:latin typeface="ＭＳ Ｐゴシック"/>
              <a:ea typeface="ＭＳ Ｐゴシック"/>
            </a:rPr>
            <a:t>99.0%</a:t>
          </a:r>
        </a:p>
      </cdr:txBody>
    </cdr:sp>
  </cdr:relSizeAnchor>
  <cdr:relSizeAnchor xmlns:cdr="http://schemas.openxmlformats.org/drawingml/2006/chartDrawing">
    <cdr:from>
      <cdr:x>0.38157</cdr:x>
      <cdr:y>0.76938</cdr:y>
    </cdr:from>
    <cdr:to>
      <cdr:x>0.50827</cdr:x>
      <cdr:y>0.89962</cdr:y>
    </cdr:to>
    <cdr:sp macro="" textlink="">
      <cdr:nvSpPr>
        <cdr:cNvPr id="173058" name="Rectangle 2"/>
        <cdr:cNvSpPr>
          <a:spLocks xmlns:a="http://schemas.openxmlformats.org/drawingml/2006/main" noChangeArrowheads="1"/>
        </cdr:cNvSpPr>
      </cdr:nvSpPr>
      <cdr:spPr bwMode="auto">
        <a:xfrm xmlns:a="http://schemas.openxmlformats.org/drawingml/2006/main">
          <a:off x="2256035" y="2933527"/>
          <a:ext cx="749115" cy="496567"/>
        </a:xfrm>
        <a:prstGeom xmlns:a="http://schemas.openxmlformats.org/drawingml/2006/main" prst="rect">
          <a:avLst/>
        </a:prstGeom>
        <a:solidFill xmlns:a="http://schemas.openxmlformats.org/drawingml/2006/main">
          <a:schemeClr val="bg1"/>
        </a:solidFill>
        <a:ln xmlns:a="http://schemas.openxmlformats.org/drawingml/2006/main" w="1">
          <a:solidFill>
            <a:sysClr val="windowText" lastClr="000000"/>
          </a:solidFill>
          <a:miter lim="800000"/>
          <a:headEnd/>
          <a:tailEnd/>
        </a:ln>
        <a:effectLst xmlns:a="http://schemas.openxmlformats.org/drawingml/2006/mai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lnSpc>
              <a:spcPts val="1100"/>
            </a:lnSpc>
            <a:defRPr sz="1000"/>
          </a:pPr>
          <a:r>
            <a:rPr lang="ja-JP" altLang="en-US" sz="900" b="0" i="0" u="none" strike="noStrike" baseline="0">
              <a:solidFill>
                <a:srgbClr val="000000"/>
              </a:solidFill>
              <a:latin typeface="ＭＳ Ｐゴシック"/>
              <a:ea typeface="ＭＳ Ｐゴシック"/>
            </a:rPr>
            <a:t>上水道</a:t>
          </a:r>
        </a:p>
        <a:p xmlns:a="http://schemas.openxmlformats.org/drawingml/2006/main">
          <a:pPr algn="ctr" rtl="0">
            <a:lnSpc>
              <a:spcPts val="1100"/>
            </a:lnSpc>
            <a:defRPr sz="1000"/>
          </a:pPr>
          <a:r>
            <a:rPr lang="en-US" altLang="ja-JP" sz="900" b="0" i="0" u="none" strike="noStrike" baseline="0">
              <a:solidFill>
                <a:srgbClr val="000000"/>
              </a:solidFill>
              <a:latin typeface="ＭＳ Ｐゴシック"/>
              <a:ea typeface="+mn-ea"/>
            </a:rPr>
            <a:t>1,918,018</a:t>
          </a:r>
          <a:r>
            <a:rPr lang="ja-JP" altLang="en-US" sz="900" b="0" i="0" u="none" strike="noStrike" baseline="0">
              <a:solidFill>
                <a:srgbClr val="000000"/>
              </a:solidFill>
              <a:latin typeface="ＭＳ Ｐゴシック"/>
              <a:ea typeface="ＭＳ Ｐゴシック"/>
            </a:rPr>
            <a:t>人</a:t>
          </a:r>
        </a:p>
        <a:p xmlns:a="http://schemas.openxmlformats.org/drawingml/2006/main">
          <a:pPr algn="ctr" rtl="0">
            <a:lnSpc>
              <a:spcPts val="1000"/>
            </a:lnSpc>
            <a:defRPr sz="1000"/>
          </a:pPr>
          <a:r>
            <a:rPr lang="en-US" altLang="ja-JP" sz="900" b="0" i="0" u="none" strike="noStrike" baseline="0">
              <a:solidFill>
                <a:srgbClr val="000000"/>
              </a:solidFill>
              <a:latin typeface="ＭＳ Ｐゴシック"/>
              <a:ea typeface="ＭＳ Ｐゴシック"/>
            </a:rPr>
            <a:t>94.8%</a:t>
          </a:r>
        </a:p>
      </cdr:txBody>
    </cdr:sp>
  </cdr:relSizeAnchor>
  <cdr:relSizeAnchor xmlns:cdr="http://schemas.openxmlformats.org/drawingml/2006/chartDrawing">
    <cdr:from>
      <cdr:x>0.09054</cdr:x>
      <cdr:y>0.16862</cdr:y>
    </cdr:from>
    <cdr:to>
      <cdr:x>0.20875</cdr:x>
      <cdr:y>0.29372</cdr:y>
    </cdr:to>
    <cdr:sp macro="" textlink="">
      <cdr:nvSpPr>
        <cdr:cNvPr id="173059" name="Rectangle 3"/>
        <cdr:cNvSpPr>
          <a:spLocks xmlns:a="http://schemas.openxmlformats.org/drawingml/2006/main" noChangeArrowheads="1"/>
        </cdr:cNvSpPr>
      </cdr:nvSpPr>
      <cdr:spPr bwMode="auto">
        <a:xfrm xmlns:a="http://schemas.openxmlformats.org/drawingml/2006/main">
          <a:off x="577305" y="625280"/>
          <a:ext cx="753702" cy="463883"/>
        </a:xfrm>
        <a:prstGeom xmlns:a="http://schemas.openxmlformats.org/drawingml/2006/main" prst="rect">
          <a:avLst/>
        </a:prstGeom>
        <a:noFill xmlns:a="http://schemas.openxmlformats.org/drawingml/2006/main"/>
        <a:ln xmlns:a="http://schemas.openxmlformats.org/drawingml/2006/main" w="1">
          <a:solidFill>
            <a:sysClr val="windowText" lastClr="000000"/>
          </a:solidFill>
          <a:miter lim="800000"/>
          <a:headEnd/>
          <a:tailEnd/>
        </a:ln>
        <a:effectLst xmlns:a="http://schemas.openxmlformats.org/drawingml/2006/mai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lnSpc>
              <a:spcPts val="1100"/>
            </a:lnSpc>
            <a:defRPr sz="1000"/>
          </a:pPr>
          <a:r>
            <a:rPr lang="ja-JP" altLang="en-US" sz="900" b="0" i="0" u="none" strike="noStrike" baseline="0">
              <a:solidFill>
                <a:srgbClr val="000000"/>
              </a:solidFill>
              <a:latin typeface="ＭＳ Ｐゴシック"/>
              <a:ea typeface="ＭＳ Ｐゴシック"/>
            </a:rPr>
            <a:t>簡易水道</a:t>
          </a:r>
        </a:p>
        <a:p xmlns:a="http://schemas.openxmlformats.org/drawingml/2006/main">
          <a:pPr algn="ctr" rtl="0">
            <a:lnSpc>
              <a:spcPts val="1100"/>
            </a:lnSpc>
            <a:defRPr sz="1000"/>
          </a:pPr>
          <a:r>
            <a:rPr lang="en-US" altLang="ja-JP" sz="900" b="0" i="0" u="none" strike="noStrike" baseline="0">
              <a:solidFill>
                <a:srgbClr val="000000"/>
              </a:solidFill>
              <a:latin typeface="ＭＳ Ｐゴシック"/>
              <a:ea typeface="+mn-ea"/>
            </a:rPr>
            <a:t>82,761</a:t>
          </a:r>
          <a:r>
            <a:rPr lang="ja-JP" altLang="en-US" sz="900" b="0" i="0" u="none" strike="noStrike" baseline="0">
              <a:solidFill>
                <a:srgbClr val="000000"/>
              </a:solidFill>
              <a:latin typeface="ＭＳ Ｐゴシック"/>
              <a:ea typeface="ＭＳ Ｐゴシック"/>
            </a:rPr>
            <a:t>人</a:t>
          </a:r>
        </a:p>
        <a:p xmlns:a="http://schemas.openxmlformats.org/drawingml/2006/main">
          <a:pPr algn="ctr" rtl="0">
            <a:lnSpc>
              <a:spcPts val="1000"/>
            </a:lnSpc>
            <a:defRPr sz="1000"/>
          </a:pPr>
          <a:r>
            <a:rPr lang="en-US" altLang="ja-JP" sz="900" b="0" i="0" u="none" strike="noStrike" baseline="0">
              <a:solidFill>
                <a:srgbClr val="000000"/>
              </a:solidFill>
              <a:latin typeface="ＭＳ Ｐゴシック"/>
              <a:ea typeface="ＭＳ Ｐゴシック"/>
            </a:rPr>
            <a:t>4.1%</a:t>
          </a:r>
        </a:p>
      </cdr:txBody>
    </cdr:sp>
  </cdr:relSizeAnchor>
  <cdr:relSizeAnchor xmlns:cdr="http://schemas.openxmlformats.org/drawingml/2006/chartDrawing">
    <cdr:from>
      <cdr:x>0.00797</cdr:x>
      <cdr:y>0.0137</cdr:y>
    </cdr:from>
    <cdr:to>
      <cdr:x>0.12618</cdr:x>
      <cdr:y>0.18347</cdr:y>
    </cdr:to>
    <cdr:sp macro="" textlink="">
      <cdr:nvSpPr>
        <cdr:cNvPr id="9" name="Rectangle 3"/>
        <cdr:cNvSpPr>
          <a:spLocks xmlns:a="http://schemas.openxmlformats.org/drawingml/2006/main" noChangeArrowheads="1"/>
        </cdr:cNvSpPr>
      </cdr:nvSpPr>
      <cdr:spPr bwMode="auto">
        <a:xfrm xmlns:a="http://schemas.openxmlformats.org/drawingml/2006/main">
          <a:off x="50800" y="50800"/>
          <a:ext cx="753702" cy="629528"/>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square" lIns="27432" tIns="18288" rIns="27432" bIns="0" anchor="t"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rtl="0">
            <a:lnSpc>
              <a:spcPts val="1100"/>
            </a:lnSpc>
            <a:defRPr sz="1000"/>
          </a:pPr>
          <a:endParaRPr lang="en-US" altLang="ja-JP" sz="900" b="0" i="0" u="none" strike="noStrike" baseline="0">
            <a:solidFill>
              <a:srgbClr val="000000"/>
            </a:solidFill>
            <a:latin typeface="ＭＳ Ｐゴシック"/>
            <a:ea typeface="ＭＳ Ｐゴシック"/>
          </a:endParaRPr>
        </a:p>
      </cdr:txBody>
    </cdr:sp>
  </cdr:relSizeAnchor>
  <cdr:relSizeAnchor xmlns:cdr="http://schemas.openxmlformats.org/drawingml/2006/chartDrawing">
    <cdr:from>
      <cdr:x>0.00797</cdr:x>
      <cdr:y>0.0137</cdr:y>
    </cdr:from>
    <cdr:to>
      <cdr:x>0.12618</cdr:x>
      <cdr:y>0.18347</cdr:y>
    </cdr:to>
    <cdr:sp macro="" textlink="">
      <cdr:nvSpPr>
        <cdr:cNvPr id="10" name="Rectangle 3"/>
        <cdr:cNvSpPr>
          <a:spLocks xmlns:a="http://schemas.openxmlformats.org/drawingml/2006/main" noChangeArrowheads="1"/>
        </cdr:cNvSpPr>
      </cdr:nvSpPr>
      <cdr:spPr bwMode="auto">
        <a:xfrm xmlns:a="http://schemas.openxmlformats.org/drawingml/2006/main">
          <a:off x="50800" y="50800"/>
          <a:ext cx="753702" cy="629528"/>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wrap="square" lIns="27432" tIns="18288" rIns="27432" bIns="0" anchor="t"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rtl="0">
            <a:lnSpc>
              <a:spcPts val="1100"/>
            </a:lnSpc>
            <a:defRPr sz="1000"/>
          </a:pPr>
          <a:endParaRPr lang="en-US" altLang="ja-JP" sz="900" b="0" i="0" u="none" strike="noStrike" baseline="0">
            <a:solidFill>
              <a:srgbClr val="000000"/>
            </a:solidFill>
            <a:latin typeface="ＭＳ Ｐゴシック"/>
            <a:ea typeface="ＭＳ Ｐゴシック"/>
          </a:endParaRPr>
        </a:p>
      </cdr:txBody>
    </cdr:sp>
  </cdr:relSizeAnchor>
</c:userShapes>
</file>

<file path=xl/drawings/drawing8.xml><?xml version="1.0" encoding="utf-8"?>
<xdr:wsDr xmlns:xdr="http://schemas.openxmlformats.org/drawingml/2006/spreadsheetDrawing" xmlns:a="http://schemas.openxmlformats.org/drawingml/2006/main">
  <xdr:twoCellAnchor>
    <xdr:from>
      <xdr:col>46</xdr:col>
      <xdr:colOff>95250</xdr:colOff>
      <xdr:row>28</xdr:row>
      <xdr:rowOff>104775</xdr:rowOff>
    </xdr:from>
    <xdr:to>
      <xdr:col>48</xdr:col>
      <xdr:colOff>533400</xdr:colOff>
      <xdr:row>31</xdr:row>
      <xdr:rowOff>104775</xdr:rowOff>
    </xdr:to>
    <xdr:sp macro="" textlink="">
      <xdr:nvSpPr>
        <xdr:cNvPr id="2" name="正方形/長方形 1">
          <a:extLst>
            <a:ext uri="{FF2B5EF4-FFF2-40B4-BE49-F238E27FC236}">
              <a16:creationId xmlns:a16="http://schemas.microsoft.com/office/drawing/2014/main" id="{AC50926D-E8C1-436A-A0F3-403394F6A131}"/>
            </a:ext>
          </a:extLst>
        </xdr:cNvPr>
        <xdr:cNvSpPr/>
      </xdr:nvSpPr>
      <xdr:spPr>
        <a:xfrm>
          <a:off x="30626050" y="4333875"/>
          <a:ext cx="1644650" cy="419100"/>
        </a:xfrm>
        <a:prstGeom prst="rect">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rPr>
            <a:t>松本地区へ一括計上</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xdr:col>
      <xdr:colOff>382381</xdr:colOff>
      <xdr:row>121</xdr:row>
      <xdr:rowOff>41413</xdr:rowOff>
    </xdr:from>
    <xdr:to>
      <xdr:col>6</xdr:col>
      <xdr:colOff>297607</xdr:colOff>
      <xdr:row>122</xdr:row>
      <xdr:rowOff>125709</xdr:rowOff>
    </xdr:to>
    <xdr:sp macro="" textlink="">
      <xdr:nvSpPr>
        <xdr:cNvPr id="2" name="テキスト ボックス 1">
          <a:extLst>
            <a:ext uri="{FF2B5EF4-FFF2-40B4-BE49-F238E27FC236}">
              <a16:creationId xmlns:a16="http://schemas.microsoft.com/office/drawing/2014/main" id="{0C53E06B-32A2-4E2A-8A7E-79026D64F45C}"/>
            </a:ext>
          </a:extLst>
        </xdr:cNvPr>
        <xdr:cNvSpPr txBox="1"/>
      </xdr:nvSpPr>
      <xdr:spPr>
        <a:xfrm>
          <a:off x="2122281" y="20786863"/>
          <a:ext cx="3807776" cy="25574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t>※</a:t>
          </a:r>
          <a:r>
            <a:rPr kumimoji="1" lang="ja-JP" altLang="en-US" sz="900"/>
            <a:t>現在、新規事業採択を行っていないため省略</a:t>
          </a:r>
        </a:p>
      </xdr:txBody>
    </xdr:sp>
    <xdr:clientData/>
  </xdr:twoCellAnchor>
  <xdr:twoCellAnchor>
    <xdr:from>
      <xdr:col>2</xdr:col>
      <xdr:colOff>398946</xdr:colOff>
      <xdr:row>191</xdr:row>
      <xdr:rowOff>101324</xdr:rowOff>
    </xdr:from>
    <xdr:to>
      <xdr:col>5</xdr:col>
      <xdr:colOff>1944437</xdr:colOff>
      <xdr:row>192</xdr:row>
      <xdr:rowOff>171167</xdr:rowOff>
    </xdr:to>
    <xdr:sp macro="" textlink="">
      <xdr:nvSpPr>
        <xdr:cNvPr id="3" name="テキスト ボックス 2">
          <a:extLst>
            <a:ext uri="{FF2B5EF4-FFF2-40B4-BE49-F238E27FC236}">
              <a16:creationId xmlns:a16="http://schemas.microsoft.com/office/drawing/2014/main" id="{2795044D-5DA3-42E5-9919-00F2A63E0BBA}"/>
            </a:ext>
          </a:extLst>
        </xdr:cNvPr>
        <xdr:cNvSpPr txBox="1"/>
      </xdr:nvSpPr>
      <xdr:spPr>
        <a:xfrm>
          <a:off x="1465746" y="32848274"/>
          <a:ext cx="3799741" cy="24129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t>※</a:t>
          </a:r>
          <a:r>
            <a:rPr kumimoji="1" lang="ja-JP" altLang="en-US" sz="900"/>
            <a:t>現在、新規事業採択を行っていないため省略</a:t>
          </a: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590550</xdr:colOff>
      <xdr:row>10</xdr:row>
      <xdr:rowOff>152400</xdr:rowOff>
    </xdr:from>
    <xdr:to>
      <xdr:col>7</xdr:col>
      <xdr:colOff>228600</xdr:colOff>
      <xdr:row>12</xdr:row>
      <xdr:rowOff>57150</xdr:rowOff>
    </xdr:to>
    <xdr:sp macro="" textlink="">
      <xdr:nvSpPr>
        <xdr:cNvPr id="2" name="AutoShape 1">
          <a:extLst>
            <a:ext uri="{FF2B5EF4-FFF2-40B4-BE49-F238E27FC236}">
              <a16:creationId xmlns:a16="http://schemas.microsoft.com/office/drawing/2014/main" id="{00000000-0008-0000-2C00-000002000000}"/>
            </a:ext>
          </a:extLst>
        </xdr:cNvPr>
        <xdr:cNvSpPr>
          <a:spLocks/>
        </xdr:cNvSpPr>
      </xdr:nvSpPr>
      <xdr:spPr bwMode="auto">
        <a:xfrm>
          <a:off x="4737100" y="1676400"/>
          <a:ext cx="412750" cy="209550"/>
        </a:xfrm>
        <a:prstGeom prst="borderCallout1">
          <a:avLst>
            <a:gd name="adj1" fmla="val 54546"/>
            <a:gd name="adj2" fmla="val -15685"/>
            <a:gd name="adj3" fmla="val 286366"/>
            <a:gd name="adj4" fmla="val -109806"/>
          </a:avLst>
        </a:prstGeom>
        <a:noFill/>
        <a:ln w="0">
          <a:solidFill>
            <a:srgbClr val="000000"/>
          </a:solid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Ｐゴシック"/>
              <a:ea typeface="ＭＳ Ｐゴシック"/>
            </a:rPr>
            <a:t>入力欄</a:t>
          </a:r>
        </a:p>
        <a:p>
          <a:pPr algn="l" rtl="0">
            <a:defRPr sz="1000"/>
          </a:pPr>
          <a:endParaRPr lang="ja-JP" altLang="en-US" sz="1000" b="0" i="0" u="none" strike="noStrike" baseline="0">
            <a:solidFill>
              <a:srgbClr val="000000"/>
            </a:solidFill>
            <a:latin typeface="ＭＳ Ｐゴシック"/>
            <a:ea typeface="ＭＳ Ｐゴシック"/>
          </a:endParaRPr>
        </a:p>
        <a:p>
          <a:pPr algn="l" rtl="0">
            <a:lnSpc>
              <a:spcPts val="12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0581;&#24247;&#23616;&#27700;&#36947;&#35506;\ssg\&#27700;&#36947;&#35506;&#26412;&#35506;\0.&#25216;&#34899;&#20418;\99&#12381;&#12398;&#20182;\60&#27700;&#36947;&#32113;&#35336;\&#32113;&#35336;&#12487;&#12540;&#12479;\&#24179;&#25104;&#65297;&#65302;&#24180;&#24230;\H16&#25285;&#24403;&#32773;&#20250;&#35696;&#36039;&#260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6x4kyuc99s0\&#20581;&#24247;&#23616;&#27700;&#36947;&#35506;\&#36817;&#34276;\&#25216;&#34899;&#20418;\&#27700;&#36947;&#32113;&#35336;\&#32113;&#35336;&#12391;&#65374;&#12383;\H12&#27700;&#36947;&#32113;&#3533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12304;ok&#12305;02_02.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12304;ok&#12305;02_0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12304;ok&#12305;02_04.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12304;ok&#12305;02_05.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12304;ok&#12305;02_0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種類別箇"/>
      <sheetName val="現在・計画給水人口"/>
    </sheetNames>
    <sheetDataSet>
      <sheetData sheetId="0" refreshError="1"/>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現在・計画給水人口"/>
      <sheetName val="種類別箇"/>
    </sheetNames>
    <sheetDataSet>
      <sheetData sheetId="0"/>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グラフ"/>
      <sheetName val="数・人口"/>
      <sheetName val="給水"/>
      <sheetName val="取水"/>
      <sheetName val="浄水"/>
      <sheetName val="管種"/>
    </sheetNames>
    <sheetDataSet>
      <sheetData sheetId="0"/>
      <sheetData sheetId="1">
        <row r="2">
          <cell r="B2" t="str">
            <v>上水</v>
          </cell>
          <cell r="C2" t="str">
            <v>簡水</v>
          </cell>
          <cell r="D2" t="str">
            <v>専用</v>
          </cell>
          <cell r="E2" t="str">
            <v>計</v>
          </cell>
          <cell r="H2" t="str">
            <v>県内総人口</v>
          </cell>
          <cell r="I2" t="str">
            <v>給水人口計</v>
          </cell>
          <cell r="J2" t="str">
            <v>上水道</v>
          </cell>
          <cell r="K2" t="str">
            <v>簡易水道</v>
          </cell>
          <cell r="L2" t="str">
            <v>専用水道</v>
          </cell>
          <cell r="M2" t="str">
            <v>普及率</v>
          </cell>
        </row>
        <row r="3">
          <cell r="A3">
            <v>25934</v>
          </cell>
          <cell r="B3">
            <v>71</v>
          </cell>
          <cell r="C3">
            <v>657</v>
          </cell>
          <cell r="D3">
            <v>53</v>
          </cell>
          <cell r="E3">
            <v>781</v>
          </cell>
          <cell r="G3">
            <v>25934</v>
          </cell>
          <cell r="H3">
            <v>1965.1880000000001</v>
          </cell>
          <cell r="I3">
            <v>1676.8109999999999</v>
          </cell>
          <cell r="J3">
            <v>1321.4490000000001</v>
          </cell>
          <cell r="K3">
            <v>345.19400000000002</v>
          </cell>
          <cell r="L3">
            <v>10.167999999999999</v>
          </cell>
          <cell r="M3">
            <v>85.3</v>
          </cell>
        </row>
        <row r="4">
          <cell r="A4">
            <v>26299</v>
          </cell>
          <cell r="B4">
            <v>69</v>
          </cell>
          <cell r="C4">
            <v>632</v>
          </cell>
          <cell r="D4">
            <v>56</v>
          </cell>
          <cell r="E4">
            <v>757</v>
          </cell>
          <cell r="G4">
            <v>26299</v>
          </cell>
          <cell r="H4">
            <v>1977.521</v>
          </cell>
          <cell r="I4">
            <v>1710.894</v>
          </cell>
          <cell r="J4">
            <v>1363.7170000000001</v>
          </cell>
          <cell r="K4">
            <v>336.93799999999999</v>
          </cell>
          <cell r="L4">
            <v>10.239000000000001</v>
          </cell>
          <cell r="M4">
            <v>86.5</v>
          </cell>
        </row>
        <row r="5">
          <cell r="A5">
            <v>26665</v>
          </cell>
          <cell r="B5">
            <v>68</v>
          </cell>
          <cell r="C5">
            <v>617</v>
          </cell>
          <cell r="D5">
            <v>58</v>
          </cell>
          <cell r="E5">
            <v>743</v>
          </cell>
          <cell r="G5">
            <v>26665</v>
          </cell>
          <cell r="H5">
            <v>1992.155</v>
          </cell>
          <cell r="I5">
            <v>1749.7639999999999</v>
          </cell>
          <cell r="J5">
            <v>1408.5250000000001</v>
          </cell>
          <cell r="K5">
            <v>330.505</v>
          </cell>
          <cell r="L5">
            <v>10.734</v>
          </cell>
          <cell r="M5">
            <v>87.8</v>
          </cell>
        </row>
        <row r="6">
          <cell r="A6">
            <v>27030</v>
          </cell>
          <cell r="B6">
            <v>68</v>
          </cell>
          <cell r="C6">
            <v>609</v>
          </cell>
          <cell r="D6">
            <v>61</v>
          </cell>
          <cell r="E6">
            <v>738</v>
          </cell>
          <cell r="G6">
            <v>27030</v>
          </cell>
          <cell r="H6">
            <v>2008.2550000000001</v>
          </cell>
          <cell r="I6">
            <v>1770.6379999999999</v>
          </cell>
          <cell r="J6">
            <v>1445.5920000000001</v>
          </cell>
          <cell r="K6">
            <v>314.56900000000002</v>
          </cell>
          <cell r="L6">
            <v>10.477</v>
          </cell>
          <cell r="M6">
            <v>88.2</v>
          </cell>
        </row>
        <row r="7">
          <cell r="A7">
            <v>27395</v>
          </cell>
          <cell r="B7">
            <v>68</v>
          </cell>
          <cell r="C7">
            <v>598</v>
          </cell>
          <cell r="D7">
            <v>57</v>
          </cell>
          <cell r="E7">
            <v>723</v>
          </cell>
          <cell r="G7">
            <v>27395</v>
          </cell>
          <cell r="H7">
            <v>2018.125</v>
          </cell>
          <cell r="I7">
            <v>1802.346</v>
          </cell>
          <cell r="J7">
            <v>1490.1679999999999</v>
          </cell>
          <cell r="K7">
            <v>303.435</v>
          </cell>
          <cell r="L7">
            <v>8.7430000000000003</v>
          </cell>
          <cell r="M7">
            <v>89.3</v>
          </cell>
        </row>
        <row r="8">
          <cell r="A8">
            <v>27760</v>
          </cell>
          <cell r="B8">
            <v>69</v>
          </cell>
          <cell r="C8">
            <v>588</v>
          </cell>
          <cell r="D8">
            <v>57</v>
          </cell>
          <cell r="E8">
            <v>714</v>
          </cell>
          <cell r="G8">
            <v>27760</v>
          </cell>
          <cell r="H8">
            <v>2033.365</v>
          </cell>
          <cell r="I8">
            <v>1825.0039999999999</v>
          </cell>
          <cell r="J8">
            <v>1516.6510000000001</v>
          </cell>
          <cell r="K8">
            <v>300.23500000000001</v>
          </cell>
          <cell r="L8">
            <v>8.1180000000000003</v>
          </cell>
          <cell r="M8">
            <v>89.8</v>
          </cell>
        </row>
        <row r="9">
          <cell r="A9">
            <v>28126</v>
          </cell>
          <cell r="B9">
            <v>69</v>
          </cell>
          <cell r="C9">
            <v>566</v>
          </cell>
          <cell r="D9">
            <v>55</v>
          </cell>
          <cell r="E9">
            <v>690</v>
          </cell>
          <cell r="G9">
            <v>28126</v>
          </cell>
          <cell r="H9">
            <v>2048.5</v>
          </cell>
          <cell r="I9">
            <v>1860.6279999999999</v>
          </cell>
          <cell r="J9">
            <v>1562.54</v>
          </cell>
          <cell r="K9">
            <v>290.12599999999998</v>
          </cell>
          <cell r="L9">
            <v>7.9619999999999997</v>
          </cell>
          <cell r="M9">
            <v>90.8</v>
          </cell>
        </row>
        <row r="10">
          <cell r="A10">
            <v>28491</v>
          </cell>
          <cell r="B10">
            <v>67</v>
          </cell>
          <cell r="C10">
            <v>532</v>
          </cell>
          <cell r="D10">
            <v>55</v>
          </cell>
          <cell r="E10">
            <v>654</v>
          </cell>
          <cell r="G10">
            <v>28491</v>
          </cell>
          <cell r="H10">
            <v>2060.982</v>
          </cell>
          <cell r="I10">
            <v>1890.826</v>
          </cell>
          <cell r="J10">
            <v>1606.104</v>
          </cell>
          <cell r="K10">
            <v>278.13099999999997</v>
          </cell>
          <cell r="L10">
            <v>6.5910000000000002</v>
          </cell>
          <cell r="M10">
            <v>91.7</v>
          </cell>
        </row>
        <row r="11">
          <cell r="A11">
            <v>28856</v>
          </cell>
          <cell r="B11">
            <v>68</v>
          </cell>
          <cell r="C11">
            <v>519</v>
          </cell>
          <cell r="D11">
            <v>50</v>
          </cell>
          <cell r="E11">
            <v>637</v>
          </cell>
          <cell r="G11">
            <v>28856</v>
          </cell>
          <cell r="H11">
            <v>2072.3519999999999</v>
          </cell>
          <cell r="I11">
            <v>1914.616</v>
          </cell>
          <cell r="J11">
            <v>1631.453</v>
          </cell>
          <cell r="K11">
            <v>277.255</v>
          </cell>
          <cell r="L11">
            <v>5.9080000000000004</v>
          </cell>
          <cell r="M11">
            <v>92.4</v>
          </cell>
        </row>
        <row r="12">
          <cell r="A12">
            <v>29221</v>
          </cell>
          <cell r="B12">
            <v>69</v>
          </cell>
          <cell r="C12">
            <v>510</v>
          </cell>
          <cell r="D12">
            <v>49</v>
          </cell>
          <cell r="E12">
            <v>628</v>
          </cell>
          <cell r="G12">
            <v>29221</v>
          </cell>
          <cell r="H12">
            <v>2082.1039999999998</v>
          </cell>
          <cell r="I12">
            <v>1934.652</v>
          </cell>
          <cell r="J12">
            <v>1651.2639999999999</v>
          </cell>
          <cell r="K12">
            <v>278.29399999999998</v>
          </cell>
          <cell r="L12">
            <v>5.0940000000000003</v>
          </cell>
          <cell r="M12">
            <v>92.9</v>
          </cell>
        </row>
        <row r="13">
          <cell r="A13">
            <v>29587</v>
          </cell>
          <cell r="B13">
            <v>69</v>
          </cell>
          <cell r="C13">
            <v>496</v>
          </cell>
          <cell r="D13">
            <v>44</v>
          </cell>
          <cell r="E13">
            <v>609</v>
          </cell>
          <cell r="G13">
            <v>29587</v>
          </cell>
          <cell r="H13">
            <v>2090.6379999999999</v>
          </cell>
          <cell r="I13">
            <v>1951.97</v>
          </cell>
          <cell r="J13">
            <v>1665.848</v>
          </cell>
          <cell r="K13">
            <v>280.31</v>
          </cell>
          <cell r="L13">
            <v>5.8120000000000003</v>
          </cell>
          <cell r="M13">
            <v>93.4</v>
          </cell>
        </row>
        <row r="14">
          <cell r="A14">
            <v>29952</v>
          </cell>
          <cell r="B14">
            <v>69</v>
          </cell>
          <cell r="C14">
            <v>499</v>
          </cell>
          <cell r="D14">
            <v>42</v>
          </cell>
          <cell r="E14">
            <v>610</v>
          </cell>
          <cell r="G14">
            <v>29952</v>
          </cell>
          <cell r="H14">
            <v>2098.0279999999998</v>
          </cell>
          <cell r="I14">
            <v>1970.1949999999999</v>
          </cell>
          <cell r="J14">
            <v>1685.4280000000001</v>
          </cell>
          <cell r="K14">
            <v>279.65800000000002</v>
          </cell>
          <cell r="L14">
            <v>5.109</v>
          </cell>
          <cell r="M14">
            <v>93.9</v>
          </cell>
        </row>
        <row r="15">
          <cell r="A15">
            <v>30317</v>
          </cell>
          <cell r="B15">
            <v>69</v>
          </cell>
          <cell r="C15">
            <v>483</v>
          </cell>
          <cell r="D15">
            <v>41</v>
          </cell>
          <cell r="E15">
            <v>593</v>
          </cell>
          <cell r="G15">
            <v>30317</v>
          </cell>
          <cell r="H15">
            <v>2107.027</v>
          </cell>
          <cell r="I15">
            <v>1984.9369999999999</v>
          </cell>
          <cell r="J15">
            <v>1700.6389999999999</v>
          </cell>
          <cell r="K15">
            <v>279.43799999999999</v>
          </cell>
          <cell r="L15">
            <v>4.8600000000000003</v>
          </cell>
          <cell r="M15">
            <v>94.2</v>
          </cell>
        </row>
        <row r="16">
          <cell r="A16">
            <v>30682</v>
          </cell>
          <cell r="B16">
            <v>69</v>
          </cell>
          <cell r="C16">
            <v>481</v>
          </cell>
          <cell r="D16">
            <v>17</v>
          </cell>
          <cell r="E16">
            <v>567</v>
          </cell>
          <cell r="G16">
            <v>30682</v>
          </cell>
          <cell r="H16">
            <v>2116.7890000000002</v>
          </cell>
          <cell r="I16">
            <v>2005.037</v>
          </cell>
          <cell r="J16">
            <v>1716.646</v>
          </cell>
          <cell r="K16">
            <v>283.61599999999999</v>
          </cell>
          <cell r="L16">
            <v>4.7750000000000004</v>
          </cell>
          <cell r="M16">
            <v>94.7</v>
          </cell>
        </row>
        <row r="17">
          <cell r="A17">
            <v>31048</v>
          </cell>
          <cell r="B17">
            <v>70</v>
          </cell>
          <cell r="C17">
            <v>487</v>
          </cell>
          <cell r="D17">
            <v>14</v>
          </cell>
          <cell r="E17">
            <v>571</v>
          </cell>
          <cell r="G17">
            <v>31048</v>
          </cell>
          <cell r="H17">
            <v>2133.866</v>
          </cell>
          <cell r="I17">
            <v>2030.3320000000001</v>
          </cell>
          <cell r="J17">
            <v>1743.8779999999999</v>
          </cell>
          <cell r="K17">
            <v>281.053</v>
          </cell>
          <cell r="L17">
            <v>5.4009999999999998</v>
          </cell>
          <cell r="M17">
            <v>95.1</v>
          </cell>
        </row>
        <row r="18">
          <cell r="A18">
            <v>31413</v>
          </cell>
          <cell r="B18">
            <v>70</v>
          </cell>
          <cell r="C18">
            <v>488</v>
          </cell>
          <cell r="D18">
            <v>15</v>
          </cell>
          <cell r="E18">
            <v>573</v>
          </cell>
          <cell r="G18">
            <v>31413</v>
          </cell>
          <cell r="H18">
            <v>2141.0990000000002</v>
          </cell>
          <cell r="I18">
            <v>2048.1979999999999</v>
          </cell>
          <cell r="J18">
            <v>1757.0540000000001</v>
          </cell>
          <cell r="K18">
            <v>285.83300000000003</v>
          </cell>
          <cell r="L18">
            <v>5.3109999999999999</v>
          </cell>
          <cell r="M18">
            <v>95.7</v>
          </cell>
        </row>
        <row r="19">
          <cell r="A19">
            <v>31778</v>
          </cell>
          <cell r="B19">
            <v>70</v>
          </cell>
          <cell r="C19">
            <v>484</v>
          </cell>
          <cell r="D19">
            <v>14</v>
          </cell>
          <cell r="E19">
            <v>568</v>
          </cell>
          <cell r="G19">
            <v>31778</v>
          </cell>
          <cell r="H19">
            <v>2144.7640000000001</v>
          </cell>
          <cell r="I19">
            <v>2055.5549999999998</v>
          </cell>
          <cell r="J19">
            <v>1767.5239999999999</v>
          </cell>
          <cell r="K19">
            <v>282.68799999999999</v>
          </cell>
          <cell r="L19">
            <v>5.343</v>
          </cell>
          <cell r="M19">
            <v>95.8</v>
          </cell>
        </row>
        <row r="20">
          <cell r="A20">
            <v>32143</v>
          </cell>
          <cell r="B20">
            <v>70</v>
          </cell>
          <cell r="C20">
            <v>481</v>
          </cell>
          <cell r="D20">
            <v>14</v>
          </cell>
          <cell r="E20">
            <v>565</v>
          </cell>
          <cell r="G20">
            <v>32143</v>
          </cell>
          <cell r="H20">
            <v>2148.8139999999999</v>
          </cell>
          <cell r="I20">
            <v>2068.9450000000002</v>
          </cell>
          <cell r="J20">
            <v>1779.7909999999999</v>
          </cell>
          <cell r="K20">
            <v>284.35300000000001</v>
          </cell>
          <cell r="L20">
            <v>4.8010000000000002</v>
          </cell>
          <cell r="M20">
            <v>96.3</v>
          </cell>
        </row>
        <row r="21">
          <cell r="A21">
            <v>32509</v>
          </cell>
          <cell r="B21">
            <v>70</v>
          </cell>
          <cell r="C21">
            <v>467</v>
          </cell>
          <cell r="D21">
            <v>14</v>
          </cell>
          <cell r="E21">
            <v>551</v>
          </cell>
          <cell r="G21">
            <v>32509</v>
          </cell>
          <cell r="H21">
            <v>2153.377</v>
          </cell>
          <cell r="I21">
            <v>2088.62</v>
          </cell>
          <cell r="J21">
            <v>1809.482</v>
          </cell>
          <cell r="K21">
            <v>274.55700000000002</v>
          </cell>
          <cell r="L21">
            <v>4.5810000000000004</v>
          </cell>
          <cell r="M21">
            <v>97</v>
          </cell>
        </row>
        <row r="22">
          <cell r="A22">
            <v>32874</v>
          </cell>
          <cell r="B22">
            <v>70</v>
          </cell>
          <cell r="C22">
            <v>458</v>
          </cell>
          <cell r="D22">
            <v>16</v>
          </cell>
          <cell r="E22">
            <v>544</v>
          </cell>
          <cell r="G22">
            <v>32874</v>
          </cell>
          <cell r="H22">
            <v>2153.0430000000001</v>
          </cell>
          <cell r="I22">
            <v>2094.7139999999999</v>
          </cell>
          <cell r="J22">
            <v>1820.828</v>
          </cell>
          <cell r="K22">
            <v>269.40100000000001</v>
          </cell>
          <cell r="L22">
            <v>4.4850000000000003</v>
          </cell>
          <cell r="M22">
            <v>97.3</v>
          </cell>
        </row>
        <row r="23">
          <cell r="A23">
            <v>33239</v>
          </cell>
          <cell r="B23">
            <v>70</v>
          </cell>
          <cell r="C23">
            <v>457</v>
          </cell>
          <cell r="D23">
            <v>14</v>
          </cell>
          <cell r="E23">
            <v>541</v>
          </cell>
          <cell r="G23">
            <v>33239</v>
          </cell>
          <cell r="H23">
            <v>2162.328</v>
          </cell>
          <cell r="I23">
            <v>2104.8620000000001</v>
          </cell>
          <cell r="J23">
            <v>1833.0329999999999</v>
          </cell>
          <cell r="K23">
            <v>267.83300000000003</v>
          </cell>
          <cell r="L23">
            <v>3.996</v>
          </cell>
          <cell r="M23">
            <v>97.3</v>
          </cell>
        </row>
        <row r="24">
          <cell r="A24">
            <v>33604</v>
          </cell>
          <cell r="B24">
            <v>69</v>
          </cell>
          <cell r="C24">
            <v>458</v>
          </cell>
          <cell r="D24">
            <v>14</v>
          </cell>
          <cell r="E24">
            <v>541</v>
          </cell>
          <cell r="G24">
            <v>33604</v>
          </cell>
          <cell r="H24">
            <v>2168.58</v>
          </cell>
          <cell r="I24">
            <v>2113.6190000000001</v>
          </cell>
          <cell r="J24">
            <v>1840.749</v>
          </cell>
          <cell r="K24">
            <v>268.38900000000001</v>
          </cell>
          <cell r="L24">
            <v>4.4809999999999999</v>
          </cell>
          <cell r="M24">
            <v>97.5</v>
          </cell>
        </row>
        <row r="25">
          <cell r="A25">
            <v>33970</v>
          </cell>
          <cell r="B25">
            <v>69</v>
          </cell>
          <cell r="C25">
            <v>451</v>
          </cell>
          <cell r="D25">
            <v>10</v>
          </cell>
          <cell r="E25">
            <v>530</v>
          </cell>
          <cell r="G25">
            <v>33970</v>
          </cell>
          <cell r="H25">
            <v>2175.6529999999998</v>
          </cell>
          <cell r="I25">
            <v>2126.1999999999998</v>
          </cell>
          <cell r="J25">
            <v>1851.8489999999999</v>
          </cell>
          <cell r="K25">
            <v>270.16500000000002</v>
          </cell>
          <cell r="L25">
            <v>4.1859999999999999</v>
          </cell>
          <cell r="M25">
            <v>97.7</v>
          </cell>
        </row>
        <row r="26">
          <cell r="A26">
            <v>34335</v>
          </cell>
          <cell r="B26">
            <v>69</v>
          </cell>
          <cell r="C26">
            <v>442</v>
          </cell>
          <cell r="D26">
            <v>10</v>
          </cell>
          <cell r="E26">
            <v>521</v>
          </cell>
          <cell r="G26">
            <v>34335</v>
          </cell>
          <cell r="H26">
            <v>2187.2849999999999</v>
          </cell>
          <cell r="I26">
            <v>2143.4690000000001</v>
          </cell>
          <cell r="J26">
            <v>1871.511</v>
          </cell>
          <cell r="K26">
            <v>268.31599999999997</v>
          </cell>
          <cell r="L26">
            <v>3.6419999999999999</v>
          </cell>
          <cell r="M26">
            <v>98</v>
          </cell>
        </row>
        <row r="27">
          <cell r="A27">
            <v>34700</v>
          </cell>
          <cell r="B27">
            <v>69</v>
          </cell>
          <cell r="C27">
            <v>435</v>
          </cell>
          <cell r="D27">
            <v>11</v>
          </cell>
          <cell r="E27">
            <v>515</v>
          </cell>
          <cell r="G27">
            <v>34700</v>
          </cell>
          <cell r="H27">
            <v>2189.866</v>
          </cell>
          <cell r="I27">
            <v>2149.0970000000002</v>
          </cell>
          <cell r="J27">
            <v>1878.6669999999999</v>
          </cell>
          <cell r="K27">
            <v>266.80799999999999</v>
          </cell>
          <cell r="L27">
            <v>3.6219999999999999</v>
          </cell>
          <cell r="M27">
            <v>98.1</v>
          </cell>
        </row>
        <row r="28">
          <cell r="A28">
            <v>35065</v>
          </cell>
          <cell r="B28">
            <v>69</v>
          </cell>
          <cell r="C28">
            <v>433</v>
          </cell>
          <cell r="D28">
            <v>9</v>
          </cell>
          <cell r="E28">
            <v>511</v>
          </cell>
          <cell r="G28">
            <v>35065</v>
          </cell>
          <cell r="H28">
            <v>2196.982</v>
          </cell>
          <cell r="I28">
            <v>2159.991</v>
          </cell>
          <cell r="J28">
            <v>1885.857</v>
          </cell>
          <cell r="K28">
            <v>271.06900000000002</v>
          </cell>
          <cell r="L28">
            <v>3.0649999999999999</v>
          </cell>
          <cell r="M28">
            <v>98.3</v>
          </cell>
        </row>
        <row r="29">
          <cell r="A29">
            <v>35431</v>
          </cell>
          <cell r="B29">
            <v>69</v>
          </cell>
          <cell r="C29">
            <v>419</v>
          </cell>
          <cell r="D29">
            <v>14</v>
          </cell>
          <cell r="E29">
            <v>502</v>
          </cell>
          <cell r="G29">
            <v>35431</v>
          </cell>
          <cell r="H29">
            <v>2205.7579999999998</v>
          </cell>
          <cell r="I29">
            <v>2169.0709999999999</v>
          </cell>
          <cell r="J29">
            <v>1904.63</v>
          </cell>
          <cell r="K29">
            <v>261.13099999999997</v>
          </cell>
          <cell r="L29">
            <v>3.31</v>
          </cell>
          <cell r="M29">
            <v>98.3</v>
          </cell>
        </row>
        <row r="30">
          <cell r="A30">
            <v>35796</v>
          </cell>
          <cell r="B30">
            <v>69</v>
          </cell>
          <cell r="C30">
            <v>408</v>
          </cell>
          <cell r="D30">
            <v>13</v>
          </cell>
          <cell r="E30">
            <v>490</v>
          </cell>
          <cell r="G30">
            <v>35796</v>
          </cell>
          <cell r="H30">
            <v>2209.4369999999999</v>
          </cell>
          <cell r="I30">
            <v>2175.0859999999998</v>
          </cell>
          <cell r="J30">
            <v>1910.221</v>
          </cell>
          <cell r="K30">
            <v>261.19099999999997</v>
          </cell>
          <cell r="L30">
            <v>3.6739999999999999</v>
          </cell>
          <cell r="M30">
            <v>98.4</v>
          </cell>
        </row>
        <row r="31">
          <cell r="A31">
            <v>36161</v>
          </cell>
          <cell r="B31">
            <v>69</v>
          </cell>
          <cell r="C31">
            <v>398</v>
          </cell>
          <cell r="D31">
            <v>12</v>
          </cell>
          <cell r="E31">
            <v>479</v>
          </cell>
          <cell r="G31">
            <v>36161</v>
          </cell>
          <cell r="H31">
            <v>2215.163</v>
          </cell>
          <cell r="I31">
            <v>2182.81</v>
          </cell>
          <cell r="J31">
            <v>1920.146</v>
          </cell>
          <cell r="K31">
            <v>259.50400000000002</v>
          </cell>
          <cell r="L31">
            <v>3.16</v>
          </cell>
          <cell r="M31">
            <v>98.5</v>
          </cell>
        </row>
        <row r="32">
          <cell r="A32">
            <v>36526</v>
          </cell>
          <cell r="B32">
            <v>69</v>
          </cell>
          <cell r="C32">
            <v>387</v>
          </cell>
          <cell r="D32">
            <v>11</v>
          </cell>
          <cell r="E32">
            <v>467</v>
          </cell>
          <cell r="G32">
            <v>36526</v>
          </cell>
          <cell r="H32">
            <v>2213</v>
          </cell>
          <cell r="I32">
            <v>2183</v>
          </cell>
          <cell r="J32">
            <v>1926</v>
          </cell>
          <cell r="K32">
            <v>254</v>
          </cell>
          <cell r="L32">
            <v>3</v>
          </cell>
          <cell r="M32">
            <v>98.7</v>
          </cell>
        </row>
        <row r="33">
          <cell r="A33">
            <v>36892</v>
          </cell>
          <cell r="B33">
            <v>69</v>
          </cell>
          <cell r="C33">
            <v>379</v>
          </cell>
          <cell r="D33">
            <v>12</v>
          </cell>
          <cell r="E33">
            <v>460</v>
          </cell>
          <cell r="G33">
            <v>36892</v>
          </cell>
          <cell r="H33">
            <v>2209</v>
          </cell>
          <cell r="I33">
            <v>2182</v>
          </cell>
          <cell r="J33">
            <v>1930</v>
          </cell>
          <cell r="K33">
            <v>248</v>
          </cell>
          <cell r="L33">
            <v>3</v>
          </cell>
          <cell r="M33">
            <v>98.7</v>
          </cell>
        </row>
        <row r="34">
          <cell r="A34" t="str">
            <v>H14</v>
          </cell>
          <cell r="B34">
            <v>69</v>
          </cell>
          <cell r="C34">
            <v>369</v>
          </cell>
          <cell r="D34">
            <v>29</v>
          </cell>
          <cell r="E34">
            <v>467</v>
          </cell>
          <cell r="G34" t="str">
            <v>H14</v>
          </cell>
          <cell r="H34">
            <v>2210</v>
          </cell>
          <cell r="I34">
            <v>2182</v>
          </cell>
          <cell r="J34">
            <v>1933</v>
          </cell>
          <cell r="K34">
            <v>244</v>
          </cell>
          <cell r="L34">
            <v>5</v>
          </cell>
          <cell r="M34">
            <v>98.7</v>
          </cell>
        </row>
        <row r="35">
          <cell r="A35" t="str">
            <v>H15</v>
          </cell>
          <cell r="B35">
            <v>69</v>
          </cell>
          <cell r="C35">
            <v>362</v>
          </cell>
          <cell r="D35">
            <v>37</v>
          </cell>
          <cell r="E35">
            <v>468</v>
          </cell>
          <cell r="G35" t="str">
            <v>H15</v>
          </cell>
          <cell r="H35">
            <v>2210</v>
          </cell>
          <cell r="I35">
            <v>2185</v>
          </cell>
          <cell r="J35">
            <v>1938</v>
          </cell>
          <cell r="K35">
            <v>241</v>
          </cell>
          <cell r="L35">
            <v>5</v>
          </cell>
          <cell r="M35">
            <v>98.9</v>
          </cell>
        </row>
        <row r="36">
          <cell r="A36" t="str">
            <v>H16</v>
          </cell>
          <cell r="B36">
            <v>68</v>
          </cell>
          <cell r="C36">
            <v>346</v>
          </cell>
          <cell r="D36">
            <v>41</v>
          </cell>
          <cell r="E36">
            <v>455</v>
          </cell>
          <cell r="G36" t="str">
            <v>H16</v>
          </cell>
          <cell r="H36">
            <v>2204</v>
          </cell>
          <cell r="I36">
            <v>2179</v>
          </cell>
          <cell r="J36">
            <v>1953</v>
          </cell>
          <cell r="K36">
            <v>222</v>
          </cell>
          <cell r="L36">
            <v>5</v>
          </cell>
          <cell r="M36">
            <v>98.9</v>
          </cell>
        </row>
        <row r="37">
          <cell r="A37" t="str">
            <v>H17</v>
          </cell>
          <cell r="B37">
            <v>67</v>
          </cell>
          <cell r="C37">
            <v>339</v>
          </cell>
          <cell r="D37">
            <v>44</v>
          </cell>
          <cell r="E37">
            <v>450</v>
          </cell>
          <cell r="G37" t="str">
            <v>H17</v>
          </cell>
          <cell r="H37">
            <v>2186</v>
          </cell>
          <cell r="I37">
            <v>2162</v>
          </cell>
          <cell r="J37">
            <v>1938</v>
          </cell>
          <cell r="K37">
            <v>219</v>
          </cell>
          <cell r="L37">
            <v>5</v>
          </cell>
          <cell r="M37">
            <v>98.9</v>
          </cell>
        </row>
        <row r="38">
          <cell r="A38" t="str">
            <v>H18</v>
          </cell>
          <cell r="B38">
            <v>67</v>
          </cell>
          <cell r="C38">
            <v>335</v>
          </cell>
          <cell r="D38">
            <v>53</v>
          </cell>
          <cell r="E38">
            <v>455</v>
          </cell>
          <cell r="G38" t="str">
            <v>H18</v>
          </cell>
          <cell r="H38">
            <v>2180</v>
          </cell>
          <cell r="I38">
            <v>2156</v>
          </cell>
          <cell r="J38">
            <v>1936</v>
          </cell>
          <cell r="K38">
            <v>215</v>
          </cell>
          <cell r="L38">
            <v>5</v>
          </cell>
          <cell r="M38">
            <v>98.9</v>
          </cell>
        </row>
        <row r="39">
          <cell r="A39" t="str">
            <v>H19</v>
          </cell>
          <cell r="B39">
            <v>66</v>
          </cell>
          <cell r="C39">
            <v>317</v>
          </cell>
          <cell r="D39">
            <v>53</v>
          </cell>
          <cell r="E39">
            <v>436</v>
          </cell>
          <cell r="G39" t="str">
            <v>H19</v>
          </cell>
          <cell r="H39">
            <v>2172</v>
          </cell>
          <cell r="I39">
            <v>2147</v>
          </cell>
          <cell r="J39">
            <v>1930</v>
          </cell>
          <cell r="K39">
            <v>213</v>
          </cell>
          <cell r="L39">
            <v>4</v>
          </cell>
          <cell r="M39">
            <v>98.8</v>
          </cell>
        </row>
        <row r="40">
          <cell r="A40" t="str">
            <v>H20</v>
          </cell>
          <cell r="B40">
            <v>66</v>
          </cell>
          <cell r="C40">
            <v>310</v>
          </cell>
          <cell r="D40">
            <v>56</v>
          </cell>
          <cell r="E40">
            <v>432</v>
          </cell>
          <cell r="G40" t="str">
            <v>H20</v>
          </cell>
          <cell r="H40">
            <v>2162</v>
          </cell>
          <cell r="I40">
            <v>2136</v>
          </cell>
          <cell r="J40">
            <v>1923</v>
          </cell>
          <cell r="K40">
            <v>209</v>
          </cell>
          <cell r="L40">
            <v>4</v>
          </cell>
          <cell r="M40">
            <v>98.8</v>
          </cell>
        </row>
        <row r="41">
          <cell r="A41" t="str">
            <v>H21</v>
          </cell>
          <cell r="B41">
            <v>66</v>
          </cell>
          <cell r="C41">
            <v>291</v>
          </cell>
          <cell r="D41">
            <v>57</v>
          </cell>
          <cell r="E41">
            <v>414</v>
          </cell>
          <cell r="G41" t="str">
            <v>H21</v>
          </cell>
          <cell r="H41">
            <v>2151</v>
          </cell>
          <cell r="I41">
            <v>2123</v>
          </cell>
          <cell r="J41">
            <v>1915</v>
          </cell>
          <cell r="K41">
            <v>206</v>
          </cell>
          <cell r="L41">
            <v>2</v>
          </cell>
          <cell r="M41">
            <v>98.7</v>
          </cell>
        </row>
        <row r="42">
          <cell r="A42" t="str">
            <v>H22</v>
          </cell>
          <cell r="B42">
            <v>66</v>
          </cell>
          <cell r="C42">
            <v>288</v>
          </cell>
          <cell r="D42">
            <v>57</v>
          </cell>
          <cell r="E42">
            <v>411</v>
          </cell>
          <cell r="G42" t="str">
            <v>H22</v>
          </cell>
          <cell r="H42">
            <v>2143</v>
          </cell>
          <cell r="I42">
            <v>2118</v>
          </cell>
          <cell r="J42">
            <v>1913</v>
          </cell>
          <cell r="K42">
            <v>202</v>
          </cell>
          <cell r="L42">
            <v>3</v>
          </cell>
          <cell r="M42">
            <v>98.8</v>
          </cell>
        </row>
        <row r="43">
          <cell r="A43" t="str">
            <v>H23</v>
          </cell>
          <cell r="B43">
            <v>66</v>
          </cell>
          <cell r="C43">
            <v>270</v>
          </cell>
          <cell r="D43">
            <v>60</v>
          </cell>
          <cell r="E43">
            <v>396</v>
          </cell>
          <cell r="G43" t="str">
            <v>H23</v>
          </cell>
          <cell r="H43">
            <v>2133</v>
          </cell>
          <cell r="I43">
            <v>2109</v>
          </cell>
          <cell r="J43">
            <v>1913</v>
          </cell>
          <cell r="K43">
            <v>194</v>
          </cell>
          <cell r="L43">
            <v>3</v>
          </cell>
          <cell r="M43">
            <v>98.9</v>
          </cell>
        </row>
        <row r="44">
          <cell r="A44" t="str">
            <v>H24</v>
          </cell>
          <cell r="B44">
            <v>64</v>
          </cell>
          <cell r="C44">
            <v>267</v>
          </cell>
          <cell r="D44">
            <v>69</v>
          </cell>
          <cell r="E44">
            <v>400</v>
          </cell>
          <cell r="G44" t="str">
            <v>H24</v>
          </cell>
          <cell r="H44">
            <v>2119</v>
          </cell>
          <cell r="I44">
            <v>2096</v>
          </cell>
          <cell r="J44">
            <v>1904</v>
          </cell>
          <cell r="K44">
            <v>190</v>
          </cell>
          <cell r="L44">
            <v>2</v>
          </cell>
          <cell r="M44">
            <v>98.9</v>
          </cell>
        </row>
        <row r="45">
          <cell r="A45" t="str">
            <v>H25</v>
          </cell>
          <cell r="B45">
            <v>64</v>
          </cell>
          <cell r="C45">
            <v>254</v>
          </cell>
          <cell r="D45">
            <v>59</v>
          </cell>
          <cell r="E45">
            <v>377</v>
          </cell>
          <cell r="G45" t="str">
            <v>H25</v>
          </cell>
          <cell r="H45">
            <v>2108</v>
          </cell>
          <cell r="I45">
            <v>2084</v>
          </cell>
          <cell r="J45">
            <v>1900</v>
          </cell>
          <cell r="K45">
            <v>183</v>
          </cell>
          <cell r="L45">
            <v>2</v>
          </cell>
          <cell r="M45">
            <v>98.9</v>
          </cell>
        </row>
        <row r="46">
          <cell r="A46" t="str">
            <v>H26</v>
          </cell>
          <cell r="B46">
            <v>65</v>
          </cell>
          <cell r="C46">
            <v>241</v>
          </cell>
          <cell r="D46">
            <v>63</v>
          </cell>
          <cell r="E46">
            <v>369</v>
          </cell>
          <cell r="G46" t="str">
            <v>H26</v>
          </cell>
          <cell r="H46">
            <v>2096</v>
          </cell>
          <cell r="I46">
            <v>2072</v>
          </cell>
          <cell r="J46">
            <v>1909</v>
          </cell>
          <cell r="K46">
            <v>162</v>
          </cell>
          <cell r="L46">
            <v>2</v>
          </cell>
          <cell r="M46">
            <v>98.9</v>
          </cell>
        </row>
        <row r="47">
          <cell r="A47" t="str">
            <v>H27</v>
          </cell>
          <cell r="B47">
            <v>65</v>
          </cell>
          <cell r="C47">
            <v>222</v>
          </cell>
          <cell r="D47">
            <v>63</v>
          </cell>
          <cell r="E47">
            <v>350</v>
          </cell>
          <cell r="G47" t="str">
            <v>H27</v>
          </cell>
          <cell r="H47">
            <v>2086</v>
          </cell>
          <cell r="I47">
            <v>2062</v>
          </cell>
          <cell r="J47">
            <v>1906</v>
          </cell>
          <cell r="K47">
            <v>154</v>
          </cell>
          <cell r="L47">
            <v>2</v>
          </cell>
          <cell r="M47">
            <v>98.8</v>
          </cell>
        </row>
        <row r="48">
          <cell r="A48" t="str">
            <v>H28</v>
          </cell>
          <cell r="B48">
            <v>62</v>
          </cell>
          <cell r="C48">
            <v>216</v>
          </cell>
          <cell r="D48">
            <v>64</v>
          </cell>
          <cell r="E48">
            <v>342</v>
          </cell>
          <cell r="G48" t="str">
            <v>H28</v>
          </cell>
          <cell r="H48">
            <v>2076</v>
          </cell>
          <cell r="I48">
            <v>2053</v>
          </cell>
          <cell r="J48">
            <v>1900</v>
          </cell>
          <cell r="K48">
            <v>151</v>
          </cell>
          <cell r="L48">
            <v>2</v>
          </cell>
          <cell r="M48">
            <v>98.9</v>
          </cell>
        </row>
        <row r="49">
          <cell r="A49" t="str">
            <v>H29</v>
          </cell>
          <cell r="B49">
            <v>61</v>
          </cell>
          <cell r="C49">
            <v>131</v>
          </cell>
          <cell r="D49">
            <v>66</v>
          </cell>
          <cell r="E49">
            <v>258</v>
          </cell>
          <cell r="G49" t="str">
            <v>H29</v>
          </cell>
          <cell r="H49">
            <v>2063</v>
          </cell>
          <cell r="I49">
            <v>2038</v>
          </cell>
          <cell r="J49">
            <v>1949</v>
          </cell>
          <cell r="K49">
            <v>87</v>
          </cell>
          <cell r="L49">
            <v>2</v>
          </cell>
          <cell r="M49">
            <v>98.8</v>
          </cell>
        </row>
        <row r="50">
          <cell r="A50" t="str">
            <v>H30</v>
          </cell>
          <cell r="B50">
            <v>61</v>
          </cell>
          <cell r="C50">
            <v>126</v>
          </cell>
          <cell r="D50">
            <v>68</v>
          </cell>
          <cell r="E50">
            <v>255</v>
          </cell>
          <cell r="G50" t="str">
            <v>H30</v>
          </cell>
          <cell r="H50">
            <v>2050</v>
          </cell>
          <cell r="I50">
            <v>2028</v>
          </cell>
          <cell r="J50">
            <v>1941</v>
          </cell>
          <cell r="K50">
            <v>85</v>
          </cell>
          <cell r="L50">
            <v>2</v>
          </cell>
          <cell r="M50">
            <v>98.9</v>
          </cell>
        </row>
        <row r="51">
          <cell r="A51" t="str">
            <v>R元</v>
          </cell>
          <cell r="B51">
            <v>61</v>
          </cell>
          <cell r="C51">
            <v>124</v>
          </cell>
          <cell r="D51">
            <v>69</v>
          </cell>
          <cell r="E51">
            <v>254</v>
          </cell>
          <cell r="G51" t="str">
            <v>R元</v>
          </cell>
          <cell r="H51">
            <v>2036</v>
          </cell>
          <cell r="I51">
            <v>2016</v>
          </cell>
          <cell r="J51">
            <v>1929</v>
          </cell>
          <cell r="K51">
            <v>84</v>
          </cell>
          <cell r="L51">
            <v>2</v>
          </cell>
          <cell r="M51">
            <v>99</v>
          </cell>
        </row>
        <row r="52">
          <cell r="A52" t="str">
            <v>R2</v>
          </cell>
          <cell r="B52">
            <v>61</v>
          </cell>
          <cell r="C52">
            <v>124</v>
          </cell>
          <cell r="D52">
            <v>69</v>
          </cell>
          <cell r="E52">
            <v>254</v>
          </cell>
          <cell r="G52" t="str">
            <v>R2</v>
          </cell>
          <cell r="H52">
            <v>2022</v>
          </cell>
          <cell r="I52">
            <v>2003</v>
          </cell>
          <cell r="J52">
            <v>1918</v>
          </cell>
          <cell r="K52">
            <v>83</v>
          </cell>
          <cell r="L52">
            <v>2</v>
          </cell>
          <cell r="M52">
            <v>99</v>
          </cell>
        </row>
        <row r="55">
          <cell r="J55" t="str">
            <v>上水道</v>
          </cell>
          <cell r="K55" t="str">
            <v>簡易水道</v>
          </cell>
          <cell r="L55" t="str">
            <v>専用水道</v>
          </cell>
          <cell r="M55" t="str">
            <v>未普及</v>
          </cell>
        </row>
        <row r="57">
          <cell r="J57">
            <v>0.9484705437879718</v>
          </cell>
          <cell r="K57">
            <v>4.0925773728107004E-2</v>
          </cell>
          <cell r="L57">
            <v>9.0543965993842418E-4</v>
          </cell>
          <cell r="M57">
            <v>9.6982428239827285E-3</v>
          </cell>
        </row>
      </sheetData>
      <sheetData sheetId="2">
        <row r="7">
          <cell r="A7">
            <v>23743</v>
          </cell>
          <cell r="B7">
            <v>103.60599999999999</v>
          </cell>
          <cell r="C7">
            <v>23.541134999999997</v>
          </cell>
        </row>
        <row r="8">
          <cell r="A8">
            <v>24108</v>
          </cell>
          <cell r="B8">
            <v>116.43899999999999</v>
          </cell>
          <cell r="C8">
            <v>21.584025</v>
          </cell>
        </row>
        <row r="9">
          <cell r="A9">
            <v>24473</v>
          </cell>
          <cell r="B9">
            <v>128.64400000000001</v>
          </cell>
          <cell r="C9">
            <v>21.880576000000001</v>
          </cell>
        </row>
        <row r="10">
          <cell r="A10">
            <v>24838</v>
          </cell>
          <cell r="B10">
            <v>137.714</v>
          </cell>
          <cell r="C10">
            <v>22.316675</v>
          </cell>
        </row>
        <row r="11">
          <cell r="A11">
            <v>25204</v>
          </cell>
          <cell r="B11">
            <v>148.78800000000001</v>
          </cell>
          <cell r="C11">
            <v>23.539628</v>
          </cell>
        </row>
        <row r="12">
          <cell r="A12">
            <v>25569</v>
          </cell>
          <cell r="B12">
            <v>162.69399999999999</v>
          </cell>
          <cell r="C12">
            <v>24.757655</v>
          </cell>
        </row>
        <row r="13">
          <cell r="A13">
            <v>25934</v>
          </cell>
          <cell r="B13">
            <v>180.667</v>
          </cell>
          <cell r="C13">
            <v>24.649947000000001</v>
          </cell>
        </row>
        <row r="14">
          <cell r="A14">
            <v>26299</v>
          </cell>
          <cell r="B14">
            <v>184.07599999999999</v>
          </cell>
          <cell r="C14">
            <v>25.618380000000002</v>
          </cell>
        </row>
        <row r="15">
          <cell r="A15">
            <v>26665</v>
          </cell>
          <cell r="B15">
            <v>200.119</v>
          </cell>
          <cell r="C15">
            <v>26.277823999999999</v>
          </cell>
        </row>
        <row r="16">
          <cell r="A16">
            <v>27030</v>
          </cell>
          <cell r="B16">
            <v>203.61699999999999</v>
          </cell>
          <cell r="C16">
            <v>26.666478999999999</v>
          </cell>
        </row>
        <row r="17">
          <cell r="A17">
            <v>27395</v>
          </cell>
          <cell r="B17">
            <v>211.84899999999999</v>
          </cell>
          <cell r="C17">
            <v>27.780114000000001</v>
          </cell>
        </row>
        <row r="18">
          <cell r="A18">
            <v>27760</v>
          </cell>
          <cell r="B18">
            <v>215.79900000000001</v>
          </cell>
          <cell r="C18">
            <v>27.631937000000001</v>
          </cell>
        </row>
        <row r="19">
          <cell r="A19">
            <v>28126</v>
          </cell>
          <cell r="B19">
            <v>225.25299999999999</v>
          </cell>
          <cell r="C19">
            <v>26.260283000000001</v>
          </cell>
        </row>
        <row r="20">
          <cell r="A20">
            <v>28491</v>
          </cell>
          <cell r="B20">
            <v>232.369</v>
          </cell>
          <cell r="C20">
            <v>24.508078000000001</v>
          </cell>
        </row>
        <row r="21">
          <cell r="A21">
            <v>28856</v>
          </cell>
          <cell r="B21">
            <v>228.95699999999999</v>
          </cell>
          <cell r="C21">
            <v>25.208867999999999</v>
          </cell>
        </row>
        <row r="22">
          <cell r="A22">
            <v>29221</v>
          </cell>
          <cell r="B22">
            <v>228.595</v>
          </cell>
          <cell r="C22">
            <v>25.629007000000001</v>
          </cell>
        </row>
        <row r="23">
          <cell r="A23">
            <v>29587</v>
          </cell>
          <cell r="B23">
            <v>238.86799999999999</v>
          </cell>
          <cell r="C23">
            <v>25.674308</v>
          </cell>
        </row>
        <row r="24">
          <cell r="A24">
            <v>29952</v>
          </cell>
          <cell r="B24">
            <v>239.666</v>
          </cell>
          <cell r="C24">
            <v>26.924994999999999</v>
          </cell>
        </row>
        <row r="25">
          <cell r="A25">
            <v>30317</v>
          </cell>
          <cell r="B25">
            <v>252.01400000000001</v>
          </cell>
          <cell r="C25">
            <v>30.248832</v>
          </cell>
        </row>
        <row r="26">
          <cell r="A26">
            <v>30682</v>
          </cell>
          <cell r="B26">
            <v>261.82499999999999</v>
          </cell>
          <cell r="C26">
            <v>31.816814999999998</v>
          </cell>
        </row>
        <row r="27">
          <cell r="A27">
            <v>31048</v>
          </cell>
          <cell r="B27">
            <v>261.42599999999999</v>
          </cell>
          <cell r="C27">
            <v>31.352318</v>
          </cell>
        </row>
        <row r="28">
          <cell r="A28">
            <v>31413</v>
          </cell>
          <cell r="B28">
            <v>261.48200000000003</v>
          </cell>
          <cell r="C28">
            <v>33.068407000000001</v>
          </cell>
        </row>
        <row r="29">
          <cell r="A29">
            <v>31778</v>
          </cell>
          <cell r="B29">
            <v>264.96199999999999</v>
          </cell>
          <cell r="C29">
            <v>32.903148000000002</v>
          </cell>
        </row>
        <row r="30">
          <cell r="A30">
            <v>32143</v>
          </cell>
          <cell r="B30">
            <v>266.19900000000001</v>
          </cell>
          <cell r="C30">
            <v>34.719571999999999</v>
          </cell>
        </row>
        <row r="31">
          <cell r="A31">
            <v>32509</v>
          </cell>
          <cell r="B31">
            <v>271.93099999999998</v>
          </cell>
          <cell r="C31">
            <v>33.091499000000006</v>
          </cell>
        </row>
        <row r="32">
          <cell r="A32">
            <v>32874</v>
          </cell>
          <cell r="B32">
            <v>281.14600000000002</v>
          </cell>
          <cell r="C32">
            <v>33.728184999999996</v>
          </cell>
        </row>
        <row r="33">
          <cell r="A33">
            <v>33239</v>
          </cell>
          <cell r="B33">
            <v>281.05500000000001</v>
          </cell>
          <cell r="C33">
            <v>35.683340999999999</v>
          </cell>
        </row>
        <row r="34">
          <cell r="A34">
            <v>33604</v>
          </cell>
          <cell r="B34">
            <v>283.39999999999998</v>
          </cell>
          <cell r="C34">
            <v>37.655875999999999</v>
          </cell>
        </row>
        <row r="35">
          <cell r="A35">
            <v>33970</v>
          </cell>
          <cell r="B35">
            <v>281.06599999999997</v>
          </cell>
          <cell r="C35">
            <v>36.868911999999995</v>
          </cell>
        </row>
        <row r="36">
          <cell r="A36">
            <v>34335</v>
          </cell>
          <cell r="B36">
            <v>291.44400000000002</v>
          </cell>
          <cell r="C36">
            <v>37.682248000000001</v>
          </cell>
        </row>
        <row r="37">
          <cell r="A37">
            <v>34700</v>
          </cell>
          <cell r="B37">
            <v>294.61399999999998</v>
          </cell>
          <cell r="C37">
            <v>38.020116000000002</v>
          </cell>
        </row>
        <row r="38">
          <cell r="A38">
            <v>35065</v>
          </cell>
          <cell r="B38">
            <v>297.31400000000002</v>
          </cell>
          <cell r="C38">
            <v>38.528711000000001</v>
          </cell>
        </row>
        <row r="39">
          <cell r="A39">
            <v>35431</v>
          </cell>
          <cell r="B39">
            <v>297.59800000000001</v>
          </cell>
          <cell r="C39">
            <v>37.620714</v>
          </cell>
        </row>
        <row r="40">
          <cell r="A40">
            <v>35796</v>
          </cell>
          <cell r="B40">
            <v>292.28399999999999</v>
          </cell>
          <cell r="C40">
            <v>36.817197999999998</v>
          </cell>
        </row>
        <row r="41">
          <cell r="A41">
            <v>36161</v>
          </cell>
          <cell r="B41">
            <v>291.767</v>
          </cell>
          <cell r="C41">
            <v>37.501202999999997</v>
          </cell>
        </row>
        <row r="42">
          <cell r="A42">
            <v>36526</v>
          </cell>
          <cell r="B42">
            <v>293</v>
          </cell>
          <cell r="C42">
            <v>37</v>
          </cell>
        </row>
        <row r="43">
          <cell r="A43">
            <v>36892</v>
          </cell>
          <cell r="B43">
            <v>289</v>
          </cell>
          <cell r="C43">
            <v>36</v>
          </cell>
        </row>
        <row r="44">
          <cell r="A44" t="str">
            <v>H14</v>
          </cell>
          <cell r="B44">
            <v>283</v>
          </cell>
          <cell r="C44">
            <v>36</v>
          </cell>
        </row>
        <row r="45">
          <cell r="A45" t="str">
            <v>H15</v>
          </cell>
          <cell r="B45">
            <v>279</v>
          </cell>
          <cell r="C45">
            <v>36</v>
          </cell>
        </row>
        <row r="46">
          <cell r="A46" t="str">
            <v>H16</v>
          </cell>
          <cell r="B46">
            <v>280</v>
          </cell>
          <cell r="C46">
            <v>34</v>
          </cell>
        </row>
        <row r="47">
          <cell r="A47" t="str">
            <v>H17</v>
          </cell>
          <cell r="B47">
            <v>280</v>
          </cell>
          <cell r="C47">
            <v>34</v>
          </cell>
        </row>
        <row r="48">
          <cell r="A48" t="str">
            <v>H18</v>
          </cell>
          <cell r="B48">
            <v>278</v>
          </cell>
          <cell r="C48">
            <v>34</v>
          </cell>
        </row>
        <row r="49">
          <cell r="A49" t="str">
            <v>H19</v>
          </cell>
          <cell r="B49">
            <v>275</v>
          </cell>
          <cell r="C49">
            <v>34</v>
          </cell>
        </row>
        <row r="50">
          <cell r="A50" t="str">
            <v>H20</v>
          </cell>
          <cell r="B50">
            <v>267</v>
          </cell>
          <cell r="C50">
            <v>33</v>
          </cell>
        </row>
        <row r="51">
          <cell r="A51" t="str">
            <v>H21</v>
          </cell>
          <cell r="B51">
            <v>260</v>
          </cell>
          <cell r="C51">
            <v>33</v>
          </cell>
        </row>
        <row r="52">
          <cell r="A52" t="str">
            <v>H22</v>
          </cell>
          <cell r="B52">
            <v>263</v>
          </cell>
          <cell r="C52">
            <v>32</v>
          </cell>
        </row>
        <row r="53">
          <cell r="A53" t="str">
            <v>H23</v>
          </cell>
          <cell r="B53">
            <v>259</v>
          </cell>
          <cell r="C53">
            <v>31</v>
          </cell>
        </row>
        <row r="54">
          <cell r="A54" t="str">
            <v>H24</v>
          </cell>
          <cell r="B54">
            <v>257</v>
          </cell>
          <cell r="C54">
            <v>31</v>
          </cell>
        </row>
        <row r="55">
          <cell r="A55" t="str">
            <v>H25</v>
          </cell>
          <cell r="B55">
            <v>257</v>
          </cell>
          <cell r="C55">
            <v>31</v>
          </cell>
        </row>
        <row r="56">
          <cell r="A56" t="str">
            <v>H26</v>
          </cell>
          <cell r="B56">
            <v>254</v>
          </cell>
          <cell r="C56">
            <v>29</v>
          </cell>
        </row>
        <row r="57">
          <cell r="A57" t="str">
            <v>H27</v>
          </cell>
          <cell r="B57">
            <v>255</v>
          </cell>
          <cell r="C57">
            <v>27</v>
          </cell>
        </row>
        <row r="58">
          <cell r="A58" t="str">
            <v>H28</v>
          </cell>
          <cell r="B58">
            <v>255</v>
          </cell>
          <cell r="C58">
            <v>26</v>
          </cell>
        </row>
        <row r="59">
          <cell r="A59" t="str">
            <v>H29</v>
          </cell>
          <cell r="B59">
            <v>263</v>
          </cell>
          <cell r="C59">
            <v>17</v>
          </cell>
        </row>
        <row r="60">
          <cell r="A60" t="str">
            <v>H30</v>
          </cell>
          <cell r="B60">
            <v>263</v>
          </cell>
          <cell r="C60">
            <v>17</v>
          </cell>
        </row>
        <row r="61">
          <cell r="A61" t="str">
            <v>R元</v>
          </cell>
          <cell r="B61">
            <v>260</v>
          </cell>
          <cell r="C61">
            <v>17</v>
          </cell>
        </row>
        <row r="62">
          <cell r="A62" t="str">
            <v>R2</v>
          </cell>
          <cell r="B62">
            <v>261</v>
          </cell>
          <cell r="C62">
            <v>17</v>
          </cell>
        </row>
      </sheetData>
      <sheetData sheetId="3">
        <row r="2">
          <cell r="B2" t="str">
            <v>(凡　例)</v>
          </cell>
          <cell r="C2" t="str">
            <v xml:space="preserve">合　計 </v>
          </cell>
          <cell r="D2" t="str">
            <v>簡易水道</v>
          </cell>
          <cell r="E2" t="str">
            <v>上 水 道</v>
          </cell>
          <cell r="F2" t="str">
            <v>用水供給</v>
          </cell>
        </row>
        <row r="3">
          <cell r="A3" t="str">
            <v>ダム</v>
          </cell>
          <cell r="B3">
            <v>12.5</v>
          </cell>
          <cell r="C3">
            <v>25.1</v>
          </cell>
          <cell r="D3">
            <v>0.62</v>
          </cell>
          <cell r="E3">
            <v>12.27</v>
          </cell>
          <cell r="F3">
            <v>86.88</v>
          </cell>
        </row>
        <row r="4">
          <cell r="A4" t="str">
            <v>湖沼</v>
          </cell>
          <cell r="B4">
            <v>12.5</v>
          </cell>
          <cell r="C4">
            <v>0.06</v>
          </cell>
          <cell r="D4">
            <v>0.79</v>
          </cell>
          <cell r="E4">
            <v>0</v>
          </cell>
          <cell r="F4">
            <v>0</v>
          </cell>
        </row>
        <row r="5">
          <cell r="A5" t="str">
            <v>河川</v>
          </cell>
          <cell r="B5">
            <v>12.5</v>
          </cell>
          <cell r="C5">
            <v>20.25</v>
          </cell>
          <cell r="D5">
            <v>33.270000000000003</v>
          </cell>
          <cell r="E5">
            <v>19.21</v>
          </cell>
          <cell r="F5">
            <v>0</v>
          </cell>
        </row>
        <row r="6">
          <cell r="A6" t="str">
            <v>伏流水</v>
          </cell>
          <cell r="B6">
            <v>12.5</v>
          </cell>
          <cell r="C6">
            <v>4.33</v>
          </cell>
          <cell r="D6">
            <v>17.18</v>
          </cell>
          <cell r="E6">
            <v>3.29</v>
          </cell>
          <cell r="F6">
            <v>0</v>
          </cell>
        </row>
        <row r="7">
          <cell r="A7" t="str">
            <v>浅井戸</v>
          </cell>
          <cell r="B7">
            <v>12.5</v>
          </cell>
          <cell r="C7">
            <v>5.51</v>
          </cell>
          <cell r="D7">
            <v>0.41</v>
          </cell>
          <cell r="E7">
            <v>5.94</v>
          </cell>
          <cell r="F7">
            <v>0</v>
          </cell>
        </row>
        <row r="8">
          <cell r="A8" t="str">
            <v>深井戸</v>
          </cell>
          <cell r="B8">
            <v>12.5</v>
          </cell>
          <cell r="C8">
            <v>25.46</v>
          </cell>
          <cell r="D8">
            <v>11.59</v>
          </cell>
          <cell r="E8">
            <v>26.23</v>
          </cell>
          <cell r="F8">
            <v>2.27</v>
          </cell>
        </row>
        <row r="9">
          <cell r="A9" t="str">
            <v>湧水等</v>
          </cell>
          <cell r="B9">
            <v>12.5</v>
          </cell>
          <cell r="C9">
            <v>19.29</v>
          </cell>
          <cell r="D9">
            <v>35.06</v>
          </cell>
          <cell r="E9">
            <v>16.170000000000002</v>
          </cell>
          <cell r="F9">
            <v>10.84</v>
          </cell>
        </row>
        <row r="10">
          <cell r="A10" t="str">
            <v>受水</v>
          </cell>
          <cell r="B10">
            <v>12.5</v>
          </cell>
          <cell r="C10">
            <v>0</v>
          </cell>
          <cell r="D10">
            <v>1.08</v>
          </cell>
          <cell r="E10">
            <v>16.899999999999999</v>
          </cell>
          <cell r="F10">
            <v>0</v>
          </cell>
        </row>
      </sheetData>
      <sheetData sheetId="4">
        <row r="1">
          <cell r="B1" t="str">
            <v>消毒のみ</v>
          </cell>
          <cell r="C1" t="str">
            <v>緩速ろ過</v>
          </cell>
          <cell r="D1" t="str">
            <v>急速ろ過</v>
          </cell>
          <cell r="E1" t="str">
            <v>膜ろ過</v>
          </cell>
        </row>
        <row r="3">
          <cell r="A3" t="str">
            <v>簡易水道</v>
          </cell>
          <cell r="B3">
            <v>64.111879908292494</v>
          </cell>
          <cell r="C3">
            <v>6.2393755246506952</v>
          </cell>
          <cell r="D3">
            <v>21.866437079203852</v>
          </cell>
          <cell r="E3">
            <v>7.7823074878529619</v>
          </cell>
        </row>
        <row r="4">
          <cell r="A4" t="str">
            <v>上水道</v>
          </cell>
          <cell r="B4">
            <v>60.443719440884159</v>
          </cell>
          <cell r="C4">
            <v>9.6572200428960429</v>
          </cell>
          <cell r="D4">
            <v>28.016209008169234</v>
          </cell>
          <cell r="E4">
            <v>1.8828515080505603</v>
          </cell>
        </row>
        <row r="5">
          <cell r="A5" t="str">
            <v>用水供給</v>
          </cell>
          <cell r="B5">
            <v>12.699333720162468</v>
          </cell>
          <cell r="C5">
            <v>0</v>
          </cell>
          <cell r="D5">
            <v>87.300666279837529</v>
          </cell>
          <cell r="E5">
            <v>0</v>
          </cell>
        </row>
      </sheetData>
      <sheetData sheetId="5">
        <row r="3">
          <cell r="B3" t="str">
            <v>鋳鉄管</v>
          </cell>
          <cell r="C3" t="str">
            <v>ダクタイル鋳鉄管</v>
          </cell>
          <cell r="D3" t="str">
            <v>鋼管</v>
          </cell>
          <cell r="E3" t="str">
            <v>石綿ｾﾒﾝﾄ管</v>
          </cell>
          <cell r="F3" t="str">
            <v>塩化ビニル管</v>
          </cell>
          <cell r="G3" t="str">
            <v>ポリエチレン</v>
          </cell>
          <cell r="H3" t="str">
            <v>その他</v>
          </cell>
        </row>
        <row r="4">
          <cell r="A4" t="str">
            <v>簡易水道</v>
          </cell>
          <cell r="B4">
            <v>44.009399999999999</v>
          </cell>
          <cell r="C4">
            <v>738.62453000000005</v>
          </cell>
          <cell r="D4">
            <v>146.26446999999999</v>
          </cell>
          <cell r="E4">
            <v>23.049520000000001</v>
          </cell>
          <cell r="F4">
            <v>1727.7801099999999</v>
          </cell>
          <cell r="G4">
            <v>368.79552000000001</v>
          </cell>
          <cell r="H4">
            <v>133.27260999999999</v>
          </cell>
        </row>
        <row r="5">
          <cell r="A5" t="str">
            <v>上 水 道</v>
          </cell>
          <cell r="B5">
            <v>259.57900000000001</v>
          </cell>
          <cell r="C5">
            <v>12455.877</v>
          </cell>
          <cell r="D5">
            <v>579.11099999999999</v>
          </cell>
          <cell r="E5">
            <v>111.608</v>
          </cell>
          <cell r="F5">
            <v>4252.1239999999998</v>
          </cell>
          <cell r="G5">
            <v>2300.614</v>
          </cell>
          <cell r="H5">
            <v>405.09899999999999</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2"/>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2"/>
      <sheetName val="人口"/>
      <sheetName val="箇所数"/>
      <sheetName val="箇所数 (元データ)"/>
    </sheetNames>
    <sheetDataSet>
      <sheetData sheetId="0"/>
      <sheetData sheetId="1" refreshError="1"/>
      <sheetData sheetId="2" refreshError="1"/>
      <sheetData sheetId="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2"/>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2"/>
    </sheetNames>
    <sheetDataSet>
      <sheetData sheetId="0"/>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port" connectionId="1" xr16:uid="{14916A3B-7241-485F-80FA-83A3A17D4C85}" autoFormatId="20" applyNumberFormats="0" applyBorderFormats="0" applyFontFormats="1" applyPatternFormats="1" applyAlignmentFormats="0" applyWidthHeightFormats="0"/>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Export_6" connectionId="2" xr16:uid="{4A3B8219-7111-4DC5-8C80-0C935DB74F3B}" autoFormatId="20" applyNumberFormats="0" applyBorderFormats="0" applyFontFormats="1" applyPatternFormats="1" applyAlignmentFormats="0" applyWidthHeightFormats="0"/>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Export_7" connectionId="5" xr16:uid="{EBB67855-41D2-47E6-9078-2CF3118AD5A2}" autoFormatId="20" applyNumberFormats="0" applyBorderFormats="0" applyFontFormats="1" applyPatternFormats="1" applyAlignmentFormats="0" applyWidthHeightFormats="0"/>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Export" connectionId="4" xr16:uid="{FCF75F76-C4D9-4239-9930-70681FAF4BB1}" autoFormatId="20" applyNumberFormats="0" applyBorderFormats="0" applyFontFormats="1" applyPatternFormats="1" applyAlignmentFormats="0" applyWidthHeightFormats="0"/>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Export_5" connectionId="3" xr16:uid="{31FDD529-9AE7-4725-AC7B-897134D110EF}" autoFormatId="20" applyNumberFormats="0" applyBorderFormats="0" applyFontFormats="1" applyPatternFormats="1" applyAlignmentFormats="0" applyWidthHeightFormats="0"/>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queryTable" Target="../queryTables/queryTable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queryTable" Target="../queryTables/queryTable2.xml"/><Relationship Id="rId2" Type="http://schemas.openxmlformats.org/officeDocument/2006/relationships/drawing" Target="../drawings/drawing8.xml"/><Relationship Id="rId1" Type="http://schemas.openxmlformats.org/officeDocument/2006/relationships/printerSettings" Target="../printerSettings/printerSettings22.bin"/><Relationship Id="rId6" Type="http://schemas.openxmlformats.org/officeDocument/2006/relationships/queryTable" Target="../queryTables/queryTable5.xml"/><Relationship Id="rId5" Type="http://schemas.openxmlformats.org/officeDocument/2006/relationships/queryTable" Target="../queryTables/queryTable4.xml"/><Relationship Id="rId4" Type="http://schemas.openxmlformats.org/officeDocument/2006/relationships/queryTable" Target="../queryTables/queryTable3.xm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s://www.mhlw.go.jp/stf/seisakunitsuite/bunya/topics/bukyoku/kenkou/suido/yosan/01c.html" TargetMode="External"/></Relationships>
</file>

<file path=xl/worksheets/_rels/sheet41.xml.rels><?xml version="1.0" encoding="UTF-8" standalone="yes"?>
<Relationships xmlns="http://schemas.openxmlformats.org/package/2006/relationships"><Relationship Id="rId2" Type="http://schemas.openxmlformats.org/officeDocument/2006/relationships/printerSettings" Target="../printerSettings/printerSettings41.bin"/><Relationship Id="rId1" Type="http://schemas.openxmlformats.org/officeDocument/2006/relationships/hyperlink" Target="https://www.mhlw.go.jp/stf/seisakunitsuite/bunya/topics/bukyoku/kenkou/suido/yosan/01c.html" TargetMode="External"/></Relationships>
</file>

<file path=xl/worksheets/_rels/sheet42.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42.bin"/><Relationship Id="rId1" Type="http://schemas.openxmlformats.org/officeDocument/2006/relationships/hyperlink" Target="https://www.mhlw.go.jp/stf/seisakunitsuite/bunya/topics/bukyoku/kenkou/suido/yosan/01g.html" TargetMode="External"/></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04"/>
  <sheetViews>
    <sheetView tabSelected="1" zoomScaleNormal="100" workbookViewId="0">
      <selection sqref="A1:D1"/>
    </sheetView>
  </sheetViews>
  <sheetFormatPr defaultColWidth="9" defaultRowHeight="12"/>
  <cols>
    <col min="1" max="1" width="7.7265625" style="1" customWidth="1"/>
    <col min="2" max="2" width="52.54296875" style="1" customWidth="1"/>
    <col min="3" max="3" width="10.08984375" style="1" customWidth="1"/>
    <col min="4" max="4" width="9" style="777"/>
    <col min="5" max="256" width="9" style="1"/>
    <col min="257" max="257" width="7.7265625" style="1" customWidth="1"/>
    <col min="258" max="258" width="52.54296875" style="1" customWidth="1"/>
    <col min="259" max="259" width="10.08984375" style="1" customWidth="1"/>
    <col min="260" max="512" width="9" style="1"/>
    <col min="513" max="513" width="7.7265625" style="1" customWidth="1"/>
    <col min="514" max="514" width="52.54296875" style="1" customWidth="1"/>
    <col min="515" max="515" width="10.08984375" style="1" customWidth="1"/>
    <col min="516" max="768" width="9" style="1"/>
    <col min="769" max="769" width="7.7265625" style="1" customWidth="1"/>
    <col min="770" max="770" width="52.54296875" style="1" customWidth="1"/>
    <col min="771" max="771" width="10.08984375" style="1" customWidth="1"/>
    <col min="772" max="1024" width="9" style="1"/>
    <col min="1025" max="1025" width="7.7265625" style="1" customWidth="1"/>
    <col min="1026" max="1026" width="52.54296875" style="1" customWidth="1"/>
    <col min="1027" max="1027" width="10.08984375" style="1" customWidth="1"/>
    <col min="1028" max="1280" width="9" style="1"/>
    <col min="1281" max="1281" width="7.7265625" style="1" customWidth="1"/>
    <col min="1282" max="1282" width="52.54296875" style="1" customWidth="1"/>
    <col min="1283" max="1283" width="10.08984375" style="1" customWidth="1"/>
    <col min="1284" max="1536" width="9" style="1"/>
    <col min="1537" max="1537" width="7.7265625" style="1" customWidth="1"/>
    <col min="1538" max="1538" width="52.54296875" style="1" customWidth="1"/>
    <col min="1539" max="1539" width="10.08984375" style="1" customWidth="1"/>
    <col min="1540" max="1792" width="9" style="1"/>
    <col min="1793" max="1793" width="7.7265625" style="1" customWidth="1"/>
    <col min="1794" max="1794" width="52.54296875" style="1" customWidth="1"/>
    <col min="1795" max="1795" width="10.08984375" style="1" customWidth="1"/>
    <col min="1796" max="2048" width="9" style="1"/>
    <col min="2049" max="2049" width="7.7265625" style="1" customWidth="1"/>
    <col min="2050" max="2050" width="52.54296875" style="1" customWidth="1"/>
    <col min="2051" max="2051" width="10.08984375" style="1" customWidth="1"/>
    <col min="2052" max="2304" width="9" style="1"/>
    <col min="2305" max="2305" width="7.7265625" style="1" customWidth="1"/>
    <col min="2306" max="2306" width="52.54296875" style="1" customWidth="1"/>
    <col min="2307" max="2307" width="10.08984375" style="1" customWidth="1"/>
    <col min="2308" max="2560" width="9" style="1"/>
    <col min="2561" max="2561" width="7.7265625" style="1" customWidth="1"/>
    <col min="2562" max="2562" width="52.54296875" style="1" customWidth="1"/>
    <col min="2563" max="2563" width="10.08984375" style="1" customWidth="1"/>
    <col min="2564" max="2816" width="9" style="1"/>
    <col min="2817" max="2817" width="7.7265625" style="1" customWidth="1"/>
    <col min="2818" max="2818" width="52.54296875" style="1" customWidth="1"/>
    <col min="2819" max="2819" width="10.08984375" style="1" customWidth="1"/>
    <col min="2820" max="3072" width="9" style="1"/>
    <col min="3073" max="3073" width="7.7265625" style="1" customWidth="1"/>
    <col min="3074" max="3074" width="52.54296875" style="1" customWidth="1"/>
    <col min="3075" max="3075" width="10.08984375" style="1" customWidth="1"/>
    <col min="3076" max="3328" width="9" style="1"/>
    <col min="3329" max="3329" width="7.7265625" style="1" customWidth="1"/>
    <col min="3330" max="3330" width="52.54296875" style="1" customWidth="1"/>
    <col min="3331" max="3331" width="10.08984375" style="1" customWidth="1"/>
    <col min="3332" max="3584" width="9" style="1"/>
    <col min="3585" max="3585" width="7.7265625" style="1" customWidth="1"/>
    <col min="3586" max="3586" width="52.54296875" style="1" customWidth="1"/>
    <col min="3587" max="3587" width="10.08984375" style="1" customWidth="1"/>
    <col min="3588" max="3840" width="9" style="1"/>
    <col min="3841" max="3841" width="7.7265625" style="1" customWidth="1"/>
    <col min="3842" max="3842" width="52.54296875" style="1" customWidth="1"/>
    <col min="3843" max="3843" width="10.08984375" style="1" customWidth="1"/>
    <col min="3844" max="4096" width="9" style="1"/>
    <col min="4097" max="4097" width="7.7265625" style="1" customWidth="1"/>
    <col min="4098" max="4098" width="52.54296875" style="1" customWidth="1"/>
    <col min="4099" max="4099" width="10.08984375" style="1" customWidth="1"/>
    <col min="4100" max="4352" width="9" style="1"/>
    <col min="4353" max="4353" width="7.7265625" style="1" customWidth="1"/>
    <col min="4354" max="4354" width="52.54296875" style="1" customWidth="1"/>
    <col min="4355" max="4355" width="10.08984375" style="1" customWidth="1"/>
    <col min="4356" max="4608" width="9" style="1"/>
    <col min="4609" max="4609" width="7.7265625" style="1" customWidth="1"/>
    <col min="4610" max="4610" width="52.54296875" style="1" customWidth="1"/>
    <col min="4611" max="4611" width="10.08984375" style="1" customWidth="1"/>
    <col min="4612" max="4864" width="9" style="1"/>
    <col min="4865" max="4865" width="7.7265625" style="1" customWidth="1"/>
    <col min="4866" max="4866" width="52.54296875" style="1" customWidth="1"/>
    <col min="4867" max="4867" width="10.08984375" style="1" customWidth="1"/>
    <col min="4868" max="5120" width="9" style="1"/>
    <col min="5121" max="5121" width="7.7265625" style="1" customWidth="1"/>
    <col min="5122" max="5122" width="52.54296875" style="1" customWidth="1"/>
    <col min="5123" max="5123" width="10.08984375" style="1" customWidth="1"/>
    <col min="5124" max="5376" width="9" style="1"/>
    <col min="5377" max="5377" width="7.7265625" style="1" customWidth="1"/>
    <col min="5378" max="5378" width="52.54296875" style="1" customWidth="1"/>
    <col min="5379" max="5379" width="10.08984375" style="1" customWidth="1"/>
    <col min="5380" max="5632" width="9" style="1"/>
    <col min="5633" max="5633" width="7.7265625" style="1" customWidth="1"/>
    <col min="5634" max="5634" width="52.54296875" style="1" customWidth="1"/>
    <col min="5635" max="5635" width="10.08984375" style="1" customWidth="1"/>
    <col min="5636" max="5888" width="9" style="1"/>
    <col min="5889" max="5889" width="7.7265625" style="1" customWidth="1"/>
    <col min="5890" max="5890" width="52.54296875" style="1" customWidth="1"/>
    <col min="5891" max="5891" width="10.08984375" style="1" customWidth="1"/>
    <col min="5892" max="6144" width="9" style="1"/>
    <col min="6145" max="6145" width="7.7265625" style="1" customWidth="1"/>
    <col min="6146" max="6146" width="52.54296875" style="1" customWidth="1"/>
    <col min="6147" max="6147" width="10.08984375" style="1" customWidth="1"/>
    <col min="6148" max="6400" width="9" style="1"/>
    <col min="6401" max="6401" width="7.7265625" style="1" customWidth="1"/>
    <col min="6402" max="6402" width="52.54296875" style="1" customWidth="1"/>
    <col min="6403" max="6403" width="10.08984375" style="1" customWidth="1"/>
    <col min="6404" max="6656" width="9" style="1"/>
    <col min="6657" max="6657" width="7.7265625" style="1" customWidth="1"/>
    <col min="6658" max="6658" width="52.54296875" style="1" customWidth="1"/>
    <col min="6659" max="6659" width="10.08984375" style="1" customWidth="1"/>
    <col min="6660" max="6912" width="9" style="1"/>
    <col min="6913" max="6913" width="7.7265625" style="1" customWidth="1"/>
    <col min="6914" max="6914" width="52.54296875" style="1" customWidth="1"/>
    <col min="6915" max="6915" width="10.08984375" style="1" customWidth="1"/>
    <col min="6916" max="7168" width="9" style="1"/>
    <col min="7169" max="7169" width="7.7265625" style="1" customWidth="1"/>
    <col min="7170" max="7170" width="52.54296875" style="1" customWidth="1"/>
    <col min="7171" max="7171" width="10.08984375" style="1" customWidth="1"/>
    <col min="7172" max="7424" width="9" style="1"/>
    <col min="7425" max="7425" width="7.7265625" style="1" customWidth="1"/>
    <col min="7426" max="7426" width="52.54296875" style="1" customWidth="1"/>
    <col min="7427" max="7427" width="10.08984375" style="1" customWidth="1"/>
    <col min="7428" max="7680" width="9" style="1"/>
    <col min="7681" max="7681" width="7.7265625" style="1" customWidth="1"/>
    <col min="7682" max="7682" width="52.54296875" style="1" customWidth="1"/>
    <col min="7683" max="7683" width="10.08984375" style="1" customWidth="1"/>
    <col min="7684" max="7936" width="9" style="1"/>
    <col min="7937" max="7937" width="7.7265625" style="1" customWidth="1"/>
    <col min="7938" max="7938" width="52.54296875" style="1" customWidth="1"/>
    <col min="7939" max="7939" width="10.08984375" style="1" customWidth="1"/>
    <col min="7940" max="8192" width="9" style="1"/>
    <col min="8193" max="8193" width="7.7265625" style="1" customWidth="1"/>
    <col min="8194" max="8194" width="52.54296875" style="1" customWidth="1"/>
    <col min="8195" max="8195" width="10.08984375" style="1" customWidth="1"/>
    <col min="8196" max="8448" width="9" style="1"/>
    <col min="8449" max="8449" width="7.7265625" style="1" customWidth="1"/>
    <col min="8450" max="8450" width="52.54296875" style="1" customWidth="1"/>
    <col min="8451" max="8451" width="10.08984375" style="1" customWidth="1"/>
    <col min="8452" max="8704" width="9" style="1"/>
    <col min="8705" max="8705" width="7.7265625" style="1" customWidth="1"/>
    <col min="8706" max="8706" width="52.54296875" style="1" customWidth="1"/>
    <col min="8707" max="8707" width="10.08984375" style="1" customWidth="1"/>
    <col min="8708" max="8960" width="9" style="1"/>
    <col min="8961" max="8961" width="7.7265625" style="1" customWidth="1"/>
    <col min="8962" max="8962" width="52.54296875" style="1" customWidth="1"/>
    <col min="8963" max="8963" width="10.08984375" style="1" customWidth="1"/>
    <col min="8964" max="9216" width="9" style="1"/>
    <col min="9217" max="9217" width="7.7265625" style="1" customWidth="1"/>
    <col min="9218" max="9218" width="52.54296875" style="1" customWidth="1"/>
    <col min="9219" max="9219" width="10.08984375" style="1" customWidth="1"/>
    <col min="9220" max="9472" width="9" style="1"/>
    <col min="9473" max="9473" width="7.7265625" style="1" customWidth="1"/>
    <col min="9474" max="9474" width="52.54296875" style="1" customWidth="1"/>
    <col min="9475" max="9475" width="10.08984375" style="1" customWidth="1"/>
    <col min="9476" max="9728" width="9" style="1"/>
    <col min="9729" max="9729" width="7.7265625" style="1" customWidth="1"/>
    <col min="9730" max="9730" width="52.54296875" style="1" customWidth="1"/>
    <col min="9731" max="9731" width="10.08984375" style="1" customWidth="1"/>
    <col min="9732" max="9984" width="9" style="1"/>
    <col min="9985" max="9985" width="7.7265625" style="1" customWidth="1"/>
    <col min="9986" max="9986" width="52.54296875" style="1" customWidth="1"/>
    <col min="9987" max="9987" width="10.08984375" style="1" customWidth="1"/>
    <col min="9988" max="10240" width="9" style="1"/>
    <col min="10241" max="10241" width="7.7265625" style="1" customWidth="1"/>
    <col min="10242" max="10242" width="52.54296875" style="1" customWidth="1"/>
    <col min="10243" max="10243" width="10.08984375" style="1" customWidth="1"/>
    <col min="10244" max="10496" width="9" style="1"/>
    <col min="10497" max="10497" width="7.7265625" style="1" customWidth="1"/>
    <col min="10498" max="10498" width="52.54296875" style="1" customWidth="1"/>
    <col min="10499" max="10499" width="10.08984375" style="1" customWidth="1"/>
    <col min="10500" max="10752" width="9" style="1"/>
    <col min="10753" max="10753" width="7.7265625" style="1" customWidth="1"/>
    <col min="10754" max="10754" width="52.54296875" style="1" customWidth="1"/>
    <col min="10755" max="10755" width="10.08984375" style="1" customWidth="1"/>
    <col min="10756" max="11008" width="9" style="1"/>
    <col min="11009" max="11009" width="7.7265625" style="1" customWidth="1"/>
    <col min="11010" max="11010" width="52.54296875" style="1" customWidth="1"/>
    <col min="11011" max="11011" width="10.08984375" style="1" customWidth="1"/>
    <col min="11012" max="11264" width="9" style="1"/>
    <col min="11265" max="11265" width="7.7265625" style="1" customWidth="1"/>
    <col min="11266" max="11266" width="52.54296875" style="1" customWidth="1"/>
    <col min="11267" max="11267" width="10.08984375" style="1" customWidth="1"/>
    <col min="11268" max="11520" width="9" style="1"/>
    <col min="11521" max="11521" width="7.7265625" style="1" customWidth="1"/>
    <col min="11522" max="11522" width="52.54296875" style="1" customWidth="1"/>
    <col min="11523" max="11523" width="10.08984375" style="1" customWidth="1"/>
    <col min="11524" max="11776" width="9" style="1"/>
    <col min="11777" max="11777" width="7.7265625" style="1" customWidth="1"/>
    <col min="11778" max="11778" width="52.54296875" style="1" customWidth="1"/>
    <col min="11779" max="11779" width="10.08984375" style="1" customWidth="1"/>
    <col min="11780" max="12032" width="9" style="1"/>
    <col min="12033" max="12033" width="7.7265625" style="1" customWidth="1"/>
    <col min="12034" max="12034" width="52.54296875" style="1" customWidth="1"/>
    <col min="12035" max="12035" width="10.08984375" style="1" customWidth="1"/>
    <col min="12036" max="12288" width="9" style="1"/>
    <col min="12289" max="12289" width="7.7265625" style="1" customWidth="1"/>
    <col min="12290" max="12290" width="52.54296875" style="1" customWidth="1"/>
    <col min="12291" max="12291" width="10.08984375" style="1" customWidth="1"/>
    <col min="12292" max="12544" width="9" style="1"/>
    <col min="12545" max="12545" width="7.7265625" style="1" customWidth="1"/>
    <col min="12546" max="12546" width="52.54296875" style="1" customWidth="1"/>
    <col min="12547" max="12547" width="10.08984375" style="1" customWidth="1"/>
    <col min="12548" max="12800" width="9" style="1"/>
    <col min="12801" max="12801" width="7.7265625" style="1" customWidth="1"/>
    <col min="12802" max="12802" width="52.54296875" style="1" customWidth="1"/>
    <col min="12803" max="12803" width="10.08984375" style="1" customWidth="1"/>
    <col min="12804" max="13056" width="9" style="1"/>
    <col min="13057" max="13057" width="7.7265625" style="1" customWidth="1"/>
    <col min="13058" max="13058" width="52.54296875" style="1" customWidth="1"/>
    <col min="13059" max="13059" width="10.08984375" style="1" customWidth="1"/>
    <col min="13060" max="13312" width="9" style="1"/>
    <col min="13313" max="13313" width="7.7265625" style="1" customWidth="1"/>
    <col min="13314" max="13314" width="52.54296875" style="1" customWidth="1"/>
    <col min="13315" max="13315" width="10.08984375" style="1" customWidth="1"/>
    <col min="13316" max="13568" width="9" style="1"/>
    <col min="13569" max="13569" width="7.7265625" style="1" customWidth="1"/>
    <col min="13570" max="13570" width="52.54296875" style="1" customWidth="1"/>
    <col min="13571" max="13571" width="10.08984375" style="1" customWidth="1"/>
    <col min="13572" max="13824" width="9" style="1"/>
    <col min="13825" max="13825" width="7.7265625" style="1" customWidth="1"/>
    <col min="13826" max="13826" width="52.54296875" style="1" customWidth="1"/>
    <col min="13827" max="13827" width="10.08984375" style="1" customWidth="1"/>
    <col min="13828" max="14080" width="9" style="1"/>
    <col min="14081" max="14081" width="7.7265625" style="1" customWidth="1"/>
    <col min="14082" max="14082" width="52.54296875" style="1" customWidth="1"/>
    <col min="14083" max="14083" width="10.08984375" style="1" customWidth="1"/>
    <col min="14084" max="14336" width="9" style="1"/>
    <col min="14337" max="14337" width="7.7265625" style="1" customWidth="1"/>
    <col min="14338" max="14338" width="52.54296875" style="1" customWidth="1"/>
    <col min="14339" max="14339" width="10.08984375" style="1" customWidth="1"/>
    <col min="14340" max="14592" width="9" style="1"/>
    <col min="14593" max="14593" width="7.7265625" style="1" customWidth="1"/>
    <col min="14594" max="14594" width="52.54296875" style="1" customWidth="1"/>
    <col min="14595" max="14595" width="10.08984375" style="1" customWidth="1"/>
    <col min="14596" max="14848" width="9" style="1"/>
    <col min="14849" max="14849" width="7.7265625" style="1" customWidth="1"/>
    <col min="14850" max="14850" width="52.54296875" style="1" customWidth="1"/>
    <col min="14851" max="14851" width="10.08984375" style="1" customWidth="1"/>
    <col min="14852" max="15104" width="9" style="1"/>
    <col min="15105" max="15105" width="7.7265625" style="1" customWidth="1"/>
    <col min="15106" max="15106" width="52.54296875" style="1" customWidth="1"/>
    <col min="15107" max="15107" width="10.08984375" style="1" customWidth="1"/>
    <col min="15108" max="15360" width="9" style="1"/>
    <col min="15361" max="15361" width="7.7265625" style="1" customWidth="1"/>
    <col min="15362" max="15362" width="52.54296875" style="1" customWidth="1"/>
    <col min="15363" max="15363" width="10.08984375" style="1" customWidth="1"/>
    <col min="15364" max="15616" width="9" style="1"/>
    <col min="15617" max="15617" width="7.7265625" style="1" customWidth="1"/>
    <col min="15618" max="15618" width="52.54296875" style="1" customWidth="1"/>
    <col min="15619" max="15619" width="10.08984375" style="1" customWidth="1"/>
    <col min="15620" max="15872" width="9" style="1"/>
    <col min="15873" max="15873" width="7.7265625" style="1" customWidth="1"/>
    <col min="15874" max="15874" width="52.54296875" style="1" customWidth="1"/>
    <col min="15875" max="15875" width="10.08984375" style="1" customWidth="1"/>
    <col min="15876" max="16128" width="9" style="1"/>
    <col min="16129" max="16129" width="7.7265625" style="1" customWidth="1"/>
    <col min="16130" max="16130" width="52.54296875" style="1" customWidth="1"/>
    <col min="16131" max="16131" width="10.08984375" style="1" customWidth="1"/>
    <col min="16132" max="16384" width="9" style="1"/>
  </cols>
  <sheetData>
    <row r="1" spans="1:5" ht="19">
      <c r="A1" s="816" t="s">
        <v>2058</v>
      </c>
      <c r="B1" s="816"/>
      <c r="C1" s="816"/>
      <c r="D1" s="816"/>
      <c r="E1" s="775"/>
    </row>
    <row r="4" spans="1:5" s="776" customFormat="1" ht="14">
      <c r="B4" s="783" t="s">
        <v>2059</v>
      </c>
      <c r="D4" s="777"/>
    </row>
    <row r="7" spans="1:5" s="776" customFormat="1" ht="14">
      <c r="A7" s="778" t="s">
        <v>2060</v>
      </c>
      <c r="D7" s="777"/>
    </row>
    <row r="8" spans="1:5">
      <c r="A8" s="779"/>
    </row>
    <row r="9" spans="1:5" ht="13">
      <c r="A9" s="780" t="s">
        <v>2061</v>
      </c>
      <c r="B9" s="783" t="s">
        <v>2062</v>
      </c>
      <c r="C9" s="781"/>
    </row>
    <row r="10" spans="1:5">
      <c r="A10" s="780"/>
    </row>
    <row r="11" spans="1:5" ht="13">
      <c r="A11" s="780" t="s">
        <v>2063</v>
      </c>
      <c r="B11" s="783" t="s">
        <v>2469</v>
      </c>
      <c r="C11" s="781"/>
    </row>
    <row r="12" spans="1:5">
      <c r="A12" s="780"/>
    </row>
    <row r="13" spans="1:5" ht="13">
      <c r="A13" s="780" t="s">
        <v>2064</v>
      </c>
      <c r="B13" s="783" t="s">
        <v>2065</v>
      </c>
      <c r="C13" s="781"/>
    </row>
    <row r="14" spans="1:5">
      <c r="A14" s="780"/>
    </row>
    <row r="15" spans="1:5" ht="13">
      <c r="A15" s="780" t="s">
        <v>2066</v>
      </c>
      <c r="B15" s="783" t="s">
        <v>2067</v>
      </c>
      <c r="C15" s="781"/>
    </row>
    <row r="16" spans="1:5">
      <c r="A16" s="780"/>
    </row>
    <row r="17" spans="1:4" ht="13">
      <c r="A17" s="780" t="s">
        <v>2068</v>
      </c>
      <c r="B17" s="783" t="s">
        <v>2069</v>
      </c>
      <c r="C17" s="781"/>
    </row>
    <row r="18" spans="1:4">
      <c r="A18" s="780"/>
    </row>
    <row r="19" spans="1:4" ht="13">
      <c r="A19" s="780" t="s">
        <v>2070</v>
      </c>
      <c r="B19" s="783" t="s">
        <v>2071</v>
      </c>
      <c r="C19" s="781"/>
    </row>
    <row r="20" spans="1:4">
      <c r="A20" s="780"/>
    </row>
    <row r="21" spans="1:4" ht="13">
      <c r="A21" s="780" t="s">
        <v>2072</v>
      </c>
      <c r="B21" s="783" t="s">
        <v>2073</v>
      </c>
      <c r="C21" s="781"/>
    </row>
    <row r="22" spans="1:4">
      <c r="A22" s="780"/>
    </row>
    <row r="24" spans="1:4" s="776" customFormat="1" ht="14">
      <c r="A24" s="778" t="s">
        <v>2074</v>
      </c>
      <c r="D24" s="777"/>
    </row>
    <row r="25" spans="1:4">
      <c r="A25" s="779"/>
    </row>
    <row r="26" spans="1:4" ht="13">
      <c r="A26" s="780" t="s">
        <v>2075</v>
      </c>
      <c r="B26" s="783" t="s">
        <v>2076</v>
      </c>
      <c r="C26" s="781"/>
    </row>
    <row r="27" spans="1:4">
      <c r="A27" s="780"/>
    </row>
    <row r="28" spans="1:4" ht="13">
      <c r="A28" s="780" t="s">
        <v>2077</v>
      </c>
      <c r="B28" s="783" t="s">
        <v>2078</v>
      </c>
      <c r="C28" s="781"/>
    </row>
    <row r="29" spans="1:4">
      <c r="A29" s="780"/>
    </row>
    <row r="30" spans="1:4" ht="13">
      <c r="A30" s="780" t="s">
        <v>2079</v>
      </c>
      <c r="B30" s="783" t="s">
        <v>2080</v>
      </c>
    </row>
    <row r="31" spans="1:4">
      <c r="A31" s="780"/>
    </row>
    <row r="32" spans="1:4" ht="13">
      <c r="A32" s="780" t="s">
        <v>2081</v>
      </c>
      <c r="B32" s="783" t="s">
        <v>2082</v>
      </c>
      <c r="C32" s="781"/>
    </row>
    <row r="33" spans="1:4">
      <c r="A33" s="780"/>
    </row>
    <row r="35" spans="1:4" s="776" customFormat="1" ht="14">
      <c r="A35" s="778" t="s">
        <v>2083</v>
      </c>
      <c r="D35" s="777"/>
    </row>
    <row r="36" spans="1:4">
      <c r="A36" s="779"/>
    </row>
    <row r="37" spans="1:4" ht="13">
      <c r="A37" s="780" t="s">
        <v>2084</v>
      </c>
      <c r="B37" s="783" t="s">
        <v>2085</v>
      </c>
      <c r="C37" s="781"/>
    </row>
    <row r="38" spans="1:4">
      <c r="A38" s="780"/>
    </row>
    <row r="39" spans="1:4" ht="13">
      <c r="A39" s="780" t="s">
        <v>2086</v>
      </c>
      <c r="B39" s="783" t="s">
        <v>2087</v>
      </c>
      <c r="C39" s="781"/>
    </row>
    <row r="40" spans="1:4">
      <c r="A40" s="780"/>
    </row>
    <row r="41" spans="1:4" ht="13">
      <c r="A41" s="780" t="s">
        <v>2088</v>
      </c>
      <c r="B41" s="783" t="s">
        <v>2089</v>
      </c>
      <c r="C41" s="781"/>
    </row>
    <row r="42" spans="1:4">
      <c r="A42" s="780"/>
    </row>
    <row r="43" spans="1:4" ht="13">
      <c r="A43" s="780" t="s">
        <v>2090</v>
      </c>
      <c r="B43" s="783" t="s">
        <v>2091</v>
      </c>
      <c r="C43" s="781"/>
    </row>
    <row r="44" spans="1:4">
      <c r="A44" s="780"/>
    </row>
    <row r="45" spans="1:4" ht="13">
      <c r="A45" s="780" t="s">
        <v>2092</v>
      </c>
      <c r="B45" s="783" t="s">
        <v>2093</v>
      </c>
      <c r="C45" s="781"/>
    </row>
    <row r="46" spans="1:4">
      <c r="A46" s="780"/>
    </row>
    <row r="47" spans="1:4" ht="13">
      <c r="A47" s="780" t="s">
        <v>2094</v>
      </c>
      <c r="B47" s="783" t="s">
        <v>2095</v>
      </c>
    </row>
    <row r="48" spans="1:4">
      <c r="A48" s="780"/>
    </row>
    <row r="49" spans="1:4" ht="13">
      <c r="A49" s="780" t="s">
        <v>2096</v>
      </c>
      <c r="B49" s="783" t="s">
        <v>2097</v>
      </c>
    </row>
    <row r="50" spans="1:4">
      <c r="A50" s="780"/>
    </row>
    <row r="51" spans="1:4" ht="13">
      <c r="A51" s="780" t="s">
        <v>2098</v>
      </c>
      <c r="B51" s="783" t="s">
        <v>2099</v>
      </c>
      <c r="C51" s="781"/>
    </row>
    <row r="52" spans="1:4">
      <c r="A52" s="780"/>
    </row>
    <row r="53" spans="1:4" ht="13">
      <c r="A53" s="780" t="s">
        <v>2100</v>
      </c>
      <c r="B53" s="783" t="s">
        <v>2101</v>
      </c>
      <c r="C53" s="781"/>
    </row>
    <row r="54" spans="1:4">
      <c r="A54" s="780"/>
    </row>
    <row r="56" spans="1:4" s="776" customFormat="1" ht="14">
      <c r="A56" s="778" t="s">
        <v>2102</v>
      </c>
      <c r="D56" s="777"/>
    </row>
    <row r="57" spans="1:4">
      <c r="A57" s="779"/>
    </row>
    <row r="58" spans="1:4" ht="13">
      <c r="A58" s="780" t="s">
        <v>2103</v>
      </c>
      <c r="B58" s="783" t="s">
        <v>2104</v>
      </c>
      <c r="C58" s="781"/>
    </row>
    <row r="59" spans="1:4">
      <c r="A59" s="780"/>
    </row>
    <row r="60" spans="1:4" ht="13">
      <c r="A60" s="780" t="s">
        <v>2105</v>
      </c>
      <c r="B60" s="783" t="s">
        <v>2106</v>
      </c>
      <c r="C60" s="781"/>
    </row>
    <row r="61" spans="1:4">
      <c r="A61" s="780"/>
    </row>
    <row r="62" spans="1:4" ht="13">
      <c r="A62" s="780" t="s">
        <v>2107</v>
      </c>
      <c r="B62" s="783" t="s">
        <v>2108</v>
      </c>
      <c r="C62" s="781"/>
    </row>
    <row r="63" spans="1:4">
      <c r="A63" s="780"/>
    </row>
    <row r="65" spans="1:4" s="776" customFormat="1" ht="14">
      <c r="A65" s="778" t="s">
        <v>2109</v>
      </c>
      <c r="D65" s="777"/>
    </row>
    <row r="66" spans="1:4">
      <c r="A66" s="779"/>
    </row>
    <row r="67" spans="1:4" ht="13">
      <c r="A67" s="780" t="s">
        <v>2110</v>
      </c>
      <c r="B67" s="783" t="s">
        <v>2111</v>
      </c>
      <c r="C67" s="781"/>
    </row>
    <row r="68" spans="1:4">
      <c r="A68" s="780"/>
    </row>
    <row r="69" spans="1:4">
      <c r="A69" s="780"/>
    </row>
    <row r="70" spans="1:4">
      <c r="A70" s="780"/>
    </row>
    <row r="71" spans="1:4" s="776" customFormat="1" ht="14">
      <c r="A71" s="778" t="s">
        <v>2112</v>
      </c>
      <c r="D71" s="777"/>
    </row>
    <row r="72" spans="1:4">
      <c r="A72" s="779"/>
    </row>
    <row r="73" spans="1:4" ht="13">
      <c r="A73" s="780" t="s">
        <v>2113</v>
      </c>
      <c r="B73" s="783" t="s">
        <v>2114</v>
      </c>
      <c r="C73" s="781"/>
    </row>
    <row r="74" spans="1:4">
      <c r="A74" s="780"/>
    </row>
    <row r="75" spans="1:4" ht="13">
      <c r="A75" s="780" t="s">
        <v>2115</v>
      </c>
      <c r="B75" s="783" t="s">
        <v>2116</v>
      </c>
      <c r="C75" s="781"/>
    </row>
    <row r="76" spans="1:4">
      <c r="A76" s="9"/>
    </row>
    <row r="77" spans="1:4" ht="13">
      <c r="A77" s="780" t="s">
        <v>2117</v>
      </c>
      <c r="B77" s="783" t="s">
        <v>2118</v>
      </c>
      <c r="C77" s="781"/>
    </row>
    <row r="78" spans="1:4">
      <c r="A78" s="780"/>
    </row>
    <row r="79" spans="1:4" ht="13">
      <c r="A79" s="780" t="s">
        <v>2119</v>
      </c>
      <c r="B79" s="783" t="s">
        <v>2120</v>
      </c>
      <c r="C79" s="781"/>
    </row>
    <row r="80" spans="1:4">
      <c r="A80" s="780"/>
    </row>
    <row r="81" spans="1:4" ht="13">
      <c r="A81" s="780" t="s">
        <v>2121</v>
      </c>
      <c r="B81" s="783" t="s">
        <v>2122</v>
      </c>
      <c r="C81" s="781"/>
    </row>
    <row r="82" spans="1:4">
      <c r="A82" s="780"/>
    </row>
    <row r="83" spans="1:4">
      <c r="A83" s="781"/>
    </row>
    <row r="84" spans="1:4" s="776" customFormat="1" ht="14">
      <c r="A84" s="778" t="s">
        <v>2123</v>
      </c>
      <c r="D84" s="777"/>
    </row>
    <row r="85" spans="1:4">
      <c r="A85" s="779"/>
    </row>
    <row r="86" spans="1:4" ht="13">
      <c r="A86" s="780" t="s">
        <v>2124</v>
      </c>
      <c r="B86" s="783" t="s">
        <v>2468</v>
      </c>
      <c r="C86" s="781"/>
    </row>
    <row r="87" spans="1:4">
      <c r="A87" s="780"/>
      <c r="C87" s="781"/>
      <c r="D87" s="782"/>
    </row>
    <row r="88" spans="1:4" ht="13">
      <c r="A88" s="780" t="s">
        <v>2125</v>
      </c>
      <c r="B88" s="783" t="s">
        <v>2126</v>
      </c>
      <c r="C88" s="781"/>
    </row>
    <row r="90" spans="1:4" ht="13">
      <c r="A90" s="780" t="s">
        <v>2127</v>
      </c>
      <c r="B90" s="783" t="s">
        <v>2128</v>
      </c>
      <c r="C90" s="781"/>
    </row>
    <row r="91" spans="1:4">
      <c r="A91" s="780"/>
    </row>
    <row r="92" spans="1:4" ht="13">
      <c r="A92" s="780" t="s">
        <v>2129</v>
      </c>
      <c r="B92" s="783" t="s">
        <v>2130</v>
      </c>
      <c r="C92" s="781"/>
    </row>
    <row r="93" spans="1:4">
      <c r="A93" s="780"/>
    </row>
    <row r="94" spans="1:4" ht="13">
      <c r="A94" s="780" t="s">
        <v>2131</v>
      </c>
      <c r="B94" s="784" t="s">
        <v>2467</v>
      </c>
      <c r="C94" s="781"/>
    </row>
    <row r="95" spans="1:4">
      <c r="A95" s="780"/>
    </row>
    <row r="96" spans="1:4" ht="13">
      <c r="A96" s="780" t="s">
        <v>2132</v>
      </c>
      <c r="B96" s="783" t="s">
        <v>2133</v>
      </c>
    </row>
    <row r="97" spans="1:3">
      <c r="A97" s="780"/>
    </row>
    <row r="98" spans="1:3" ht="13">
      <c r="A98" s="780" t="s">
        <v>2134</v>
      </c>
      <c r="B98" s="784" t="s">
        <v>2466</v>
      </c>
      <c r="C98" s="781"/>
    </row>
    <row r="99" spans="1:3">
      <c r="A99" s="780"/>
    </row>
    <row r="100" spans="1:3" ht="13">
      <c r="A100" s="780" t="s">
        <v>2135</v>
      </c>
      <c r="B100" s="783" t="s">
        <v>2465</v>
      </c>
      <c r="C100" s="781"/>
    </row>
    <row r="101" spans="1:3">
      <c r="A101" s="780"/>
    </row>
    <row r="102" spans="1:3" ht="13">
      <c r="A102" s="780" t="s">
        <v>2137</v>
      </c>
      <c r="B102" s="783" t="s">
        <v>2136</v>
      </c>
    </row>
    <row r="103" spans="1:3">
      <c r="A103" s="780"/>
    </row>
    <row r="104" spans="1:3">
      <c r="A104" s="780"/>
    </row>
  </sheetData>
  <mergeCells count="1">
    <mergeCell ref="A1:D1"/>
  </mergeCells>
  <phoneticPr fontId="6"/>
  <hyperlinks>
    <hyperlink ref="B4" location="'00'!A1" display="（凡例）" xr:uid="{00000000-0004-0000-0000-000000000000}"/>
    <hyperlink ref="B9" location="'01'!A1" display="総括" xr:uid="{00000000-0004-0000-0000-000001000000}"/>
    <hyperlink ref="B11" location="'02'!A1" display="グラフで表す水道の状況（令和元年度）" xr:uid="{00000000-0004-0000-0000-000002000000}"/>
    <hyperlink ref="B13" location="'03'!A1" display="水道の種類別箇所数の推移、給水人口及び普及率の推移" xr:uid="{00000000-0004-0000-0000-000003000000}"/>
    <hyperlink ref="B15" location="'04'!A1" display="都道府県別の給水人口、普及率及び水道数" xr:uid="{00000000-0004-0000-0000-000004000000}"/>
    <hyperlink ref="B17" location="'05'!A1" display="地域振興局別の箇所数、給水人口及び普及率" xr:uid="{00000000-0004-0000-0000-000005000000}"/>
    <hyperlink ref="B19" location="'06'!A1" display="市町村別の箇所数、給水人口及び普及率" xr:uid="{00000000-0004-0000-0000-000006000000}"/>
    <hyperlink ref="B21" location="'07'!A1" display="給水量の推移" xr:uid="{00000000-0004-0000-0000-000007000000}"/>
    <hyperlink ref="B26" location="'08'!A1" display="事業計画概要及び給水対象（用水供給）" xr:uid="{00000000-0004-0000-0000-000008000000}"/>
    <hyperlink ref="B28" location="'09'!A1" display="取水量、浄水量、給水量及び施設耐震化状況（用水供給）" xr:uid="{00000000-0004-0000-0000-000009000000}"/>
    <hyperlink ref="B30" location="'10'!A1" display="管延長並びに管路耐震化及び経年化状況（用水供給）" xr:uid="{00000000-0004-0000-0000-00000A000000}"/>
    <hyperlink ref="B32" location="'11'!A1" display="財務状況（用水供給）" xr:uid="{00000000-0004-0000-0000-00000B000000}"/>
    <hyperlink ref="B37" location="'12'!A1" display="事業計画概要、給水人口、普及率、給水量及び料金（上水道）" xr:uid="{00000000-0004-0000-0000-00000C000000}"/>
    <hyperlink ref="B39" location="'13'!A1" display="取水量、浄水量及び配水池容量等（上水道）" xr:uid="{00000000-0004-0000-0000-00000D000000}"/>
    <hyperlink ref="B41" location="'14'!A1" display="用途別有収水量（上水道）" xr:uid="{00000000-0004-0000-0000-00000E000000}"/>
    <hyperlink ref="B43" location="'15'!A1" display="口径別有収水量（上水道）" xr:uid="{00000000-0004-0000-0000-00000F000000}"/>
    <hyperlink ref="B45" location="'16'!A1" display="管延長（上水道）" xr:uid="{00000000-0004-0000-0000-000010000000}"/>
    <hyperlink ref="B47" location="'17'!A1" display="耐震適合性のある管路延長（上水道）" xr:uid="{00000000-0004-0000-0000-000011000000}"/>
    <hyperlink ref="B49" location="'18'!A1" display="管路の経年化状況（上水道）" xr:uid="{00000000-0004-0000-0000-000012000000}"/>
    <hyperlink ref="B51" location="'19'!A1" display="施設耐震化状況及び災害時確保水量（上水道）" xr:uid="{00000000-0004-0000-0000-000013000000}"/>
    <hyperlink ref="B53" location="'20'!A1" display="財務状況（上水道）" xr:uid="{00000000-0004-0000-0000-000014000000}"/>
    <hyperlink ref="B58" location="'21'!A1" display="事業計画概要、給水人口、普及率、給水量及び料金（簡易水道）" xr:uid="{00000000-0004-0000-0000-000015000000}"/>
    <hyperlink ref="B60" location="'22'!A1" display="取水量及び浄水量（簡易水道）" xr:uid="{00000000-0004-0000-0000-000016000000}"/>
    <hyperlink ref="B62" location="'23'!A1" display="配水池容量及び管延長等（簡易水道）" xr:uid="{00000000-0004-0000-0000-000017000000}"/>
    <hyperlink ref="B67" location="'24'!A1" display="給水人口、施設能力、原水種別等（専用水道）" xr:uid="{00000000-0004-0000-0000-000018000000}"/>
    <hyperlink ref="B73" location="'25'!A1" display="国庫補助事業及び交付金事業の事業内容及び事業費等" xr:uid="{00000000-0004-0000-0000-000019000000}"/>
    <hyperlink ref="B75" location="'26'!A1" display="国庫補助事業及び交付金事業の事業数及び補助金等の推移" xr:uid="{00000000-0004-0000-0000-00001A000000}"/>
    <hyperlink ref="B77" location="'27'!A1" display="県費補助事業の事業内容及び事業費等" xr:uid="{00000000-0004-0000-0000-00001B000000}"/>
    <hyperlink ref="B79" location="'28'!A1" display="県費補助事業の事業数及び補助金等の推移" xr:uid="{00000000-0004-0000-0000-00001C000000}"/>
    <hyperlink ref="B81" location="'29'!A1" display="水道関連ダムの概況" xr:uid="{00000000-0004-0000-0000-00001D000000}"/>
    <hyperlink ref="B86" location="'30'!A1" display="大臣認可の水道用水供給事業及び上水道（令和３年４月１日現在）" xr:uid="{00000000-0004-0000-0000-00001E000000}"/>
    <hyperlink ref="B88" location="'31'!A1" display="複数の市町村にまたがる上水道及び簡易水道" xr:uid="{00000000-0004-0000-0000-00001F000000}"/>
    <hyperlink ref="B90" location="'32'!A1" display="水質検査状況" xr:uid="{00000000-0004-0000-0000-000020000000}"/>
    <hyperlink ref="B92" location="'33'!A1" display="簡易専用水道検査状況" xr:uid="{00000000-0004-0000-0000-000021000000}"/>
    <hyperlink ref="B94" location="'34'!A1" display="登録検査機関（令和３年４月５日現在）" xr:uid="{00000000-0004-0000-0000-000022000000}"/>
    <hyperlink ref="B96" location="'35'!A1" display="水道水質基準と検査頻度" xr:uid="{00000000-0004-0000-0000-000023000000}"/>
    <hyperlink ref="B98" location="'36'!A1" display="水道水源保全地区の概況（令和３年３月末）" xr:uid="{00000000-0004-0000-0000-000024000000}"/>
    <hyperlink ref="B100" location="'37'!A1" display="水資源保全地域の概況（令和３年３月末）" xr:uid="{00000000-0004-0000-0000-000025000000}"/>
    <hyperlink ref="B102" location="'38-1'!A1" display="水道施設整備費補助金及び生活基盤施設耐震化等交付金の概要" xr:uid="{00000000-0004-0000-0000-000026000000}"/>
  </hyperlinks>
  <pageMargins left="1.3779527559055118" right="0.59055118110236227" top="0.59055118110236227" bottom="0.59055118110236227" header="0.51181102362204722" footer="0.51181102362204722"/>
  <pageSetup paperSize="9" orientation="portrait" r:id="rId1"/>
  <headerFooter alignWithMargins="0"/>
  <rowBreaks count="1" manualBreakCount="1">
    <brk id="64"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D0241-9534-43EB-8702-76C4C907CE42}">
  <dimension ref="A1:M104"/>
  <sheetViews>
    <sheetView view="pageBreakPreview" zoomScaleNormal="100" zoomScaleSheetLayoutView="100" workbookViewId="0">
      <selection activeCell="B18" sqref="B18"/>
    </sheetView>
  </sheetViews>
  <sheetFormatPr defaultColWidth="9" defaultRowHeight="12"/>
  <cols>
    <col min="1" max="2" width="5.6328125" style="1" customWidth="1"/>
    <col min="3" max="9" width="9" style="1"/>
    <col min="10" max="10" width="7.36328125" style="1" customWidth="1"/>
    <col min="11" max="11" width="3.26953125" style="1" customWidth="1"/>
    <col min="12" max="12" width="9" style="1" customWidth="1"/>
    <col min="13" max="16384" width="9" style="1"/>
  </cols>
  <sheetData>
    <row r="1" spans="1:11" s="2" customFormat="1" ht="20.149999999999999" customHeight="1">
      <c r="A1" s="820" t="s">
        <v>2195</v>
      </c>
      <c r="B1" s="820"/>
      <c r="C1" s="820"/>
      <c r="D1" s="820"/>
      <c r="E1" s="820"/>
      <c r="F1" s="820"/>
      <c r="G1" s="820"/>
      <c r="H1" s="820"/>
      <c r="I1" s="820"/>
      <c r="J1" s="820"/>
      <c r="K1" s="820"/>
    </row>
    <row r="2" spans="1:11" ht="13.5" customHeight="1"/>
    <row r="3" spans="1:11" s="3" customFormat="1" ht="13.5" customHeight="1">
      <c r="A3" s="5" t="s">
        <v>2196</v>
      </c>
    </row>
    <row r="4" spans="1:11" ht="36" customHeight="1">
      <c r="B4" s="821" t="s">
        <v>2271</v>
      </c>
      <c r="C4" s="821"/>
      <c r="D4" s="821"/>
      <c r="E4" s="821"/>
      <c r="F4" s="821"/>
      <c r="G4" s="821"/>
      <c r="H4" s="821"/>
      <c r="I4" s="821"/>
      <c r="J4" s="821"/>
      <c r="K4" s="821"/>
    </row>
    <row r="5" spans="1:11" ht="13.5" customHeight="1"/>
    <row r="6" spans="1:11" s="3" customFormat="1" ht="13.5" customHeight="1">
      <c r="A6" s="5" t="s">
        <v>2272</v>
      </c>
    </row>
    <row r="7" spans="1:11" ht="13.5" customHeight="1">
      <c r="B7" s="1" t="s">
        <v>2197</v>
      </c>
    </row>
    <row r="8" spans="1:11" ht="13.5" customHeight="1">
      <c r="B8" s="1" t="s">
        <v>2273</v>
      </c>
    </row>
    <row r="9" spans="1:11" ht="13.5" customHeight="1"/>
    <row r="10" spans="1:11" s="3" customFormat="1" ht="13.5" customHeight="1">
      <c r="A10" s="5" t="s">
        <v>2198</v>
      </c>
    </row>
    <row r="11" spans="1:11" ht="13.5" customHeight="1">
      <c r="B11" s="1" t="s">
        <v>2199</v>
      </c>
    </row>
    <row r="12" spans="1:11" ht="13.5" customHeight="1">
      <c r="B12" s="1" t="s">
        <v>2200</v>
      </c>
    </row>
    <row r="13" spans="1:11" ht="13.5" customHeight="1">
      <c r="B13" s="1" t="s">
        <v>2201</v>
      </c>
    </row>
    <row r="14" spans="1:11" ht="13.5" customHeight="1">
      <c r="B14" s="1" t="s">
        <v>2202</v>
      </c>
    </row>
    <row r="15" spans="1:11" ht="27" customHeight="1">
      <c r="C15" s="821" t="s">
        <v>2203</v>
      </c>
      <c r="D15" s="821"/>
      <c r="E15" s="821"/>
      <c r="F15" s="821"/>
      <c r="G15" s="821"/>
      <c r="H15" s="821"/>
      <c r="I15" s="821"/>
      <c r="J15" s="821"/>
      <c r="K15" s="821"/>
    </row>
    <row r="16" spans="1:11" ht="27" customHeight="1">
      <c r="C16" s="821" t="s">
        <v>2204</v>
      </c>
      <c r="D16" s="821"/>
      <c r="E16" s="821"/>
      <c r="F16" s="821"/>
      <c r="G16" s="821"/>
      <c r="H16" s="821"/>
      <c r="I16" s="821"/>
      <c r="J16" s="821"/>
      <c r="K16" s="821"/>
    </row>
    <row r="17" spans="1:11" ht="27" customHeight="1">
      <c r="C17" s="821" t="s">
        <v>2205</v>
      </c>
      <c r="D17" s="821"/>
      <c r="E17" s="821"/>
      <c r="F17" s="821"/>
      <c r="G17" s="821"/>
      <c r="H17" s="821"/>
      <c r="I17" s="821"/>
      <c r="J17" s="821"/>
      <c r="K17" s="821"/>
    </row>
    <row r="18" spans="1:11" ht="13.5" customHeight="1">
      <c r="B18" s="1" t="s">
        <v>2206</v>
      </c>
    </row>
    <row r="19" spans="1:11" ht="27" customHeight="1">
      <c r="C19" s="821" t="s">
        <v>26</v>
      </c>
      <c r="D19" s="821"/>
      <c r="E19" s="821"/>
      <c r="F19" s="821"/>
      <c r="G19" s="821"/>
      <c r="H19" s="821"/>
      <c r="I19" s="821"/>
      <c r="J19" s="821"/>
      <c r="K19" s="821"/>
    </row>
    <row r="20" spans="1:11" ht="13.5" customHeight="1">
      <c r="B20" s="1" t="s">
        <v>2207</v>
      </c>
    </row>
    <row r="21" spans="1:11" ht="27" customHeight="1">
      <c r="C21" s="821" t="s">
        <v>27</v>
      </c>
      <c r="D21" s="821"/>
      <c r="E21" s="821"/>
      <c r="F21" s="821"/>
      <c r="G21" s="821"/>
      <c r="H21" s="821"/>
      <c r="I21" s="821"/>
      <c r="J21" s="821"/>
      <c r="K21" s="821"/>
    </row>
    <row r="22" spans="1:11" ht="13.5" customHeight="1">
      <c r="B22" s="1" t="s">
        <v>2208</v>
      </c>
    </row>
    <row r="23" spans="1:11" ht="13.5" customHeight="1">
      <c r="B23" s="1" t="s">
        <v>2209</v>
      </c>
    </row>
    <row r="24" spans="1:11" ht="13.5" customHeight="1"/>
    <row r="25" spans="1:11" s="3" customFormat="1" ht="13.5" customHeight="1">
      <c r="A25" s="5" t="s">
        <v>2210</v>
      </c>
    </row>
    <row r="26" spans="1:11" ht="27" customHeight="1">
      <c r="B26" s="821" t="s">
        <v>2211</v>
      </c>
      <c r="C26" s="821"/>
      <c r="D26" s="821"/>
      <c r="E26" s="821"/>
      <c r="F26" s="821"/>
      <c r="G26" s="821"/>
      <c r="H26" s="821"/>
      <c r="I26" s="821"/>
      <c r="J26" s="821"/>
      <c r="K26" s="821"/>
    </row>
    <row r="27" spans="1:11" ht="13.5" customHeight="1"/>
    <row r="28" spans="1:11" s="3" customFormat="1" ht="13.5" customHeight="1">
      <c r="A28" s="5" t="s">
        <v>2212</v>
      </c>
    </row>
    <row r="29" spans="1:11" ht="13.5" customHeight="1">
      <c r="B29" s="1" t="s">
        <v>2213</v>
      </c>
    </row>
    <row r="30" spans="1:11" ht="13.5" customHeight="1">
      <c r="C30" s="1" t="s">
        <v>2214</v>
      </c>
    </row>
    <row r="31" spans="1:11" ht="13.5" customHeight="1"/>
    <row r="32" spans="1:11" s="3" customFormat="1" ht="13.5" customHeight="1">
      <c r="A32" s="5" t="s">
        <v>2215</v>
      </c>
    </row>
    <row r="33" spans="1:4" ht="13.5" customHeight="1">
      <c r="B33" s="1" t="s">
        <v>2216</v>
      </c>
      <c r="D33" s="1" t="s">
        <v>19</v>
      </c>
    </row>
    <row r="34" spans="1:4" ht="13.5" customHeight="1">
      <c r="B34" s="1" t="s">
        <v>2217</v>
      </c>
      <c r="D34" s="1" t="s">
        <v>20</v>
      </c>
    </row>
    <row r="35" spans="1:4" ht="13.5" customHeight="1">
      <c r="B35" s="1" t="s">
        <v>2218</v>
      </c>
      <c r="D35" s="1" t="s">
        <v>21</v>
      </c>
    </row>
    <row r="36" spans="1:4" ht="13.5" customHeight="1">
      <c r="B36" s="1" t="s">
        <v>2219</v>
      </c>
      <c r="D36" s="1" t="s">
        <v>22</v>
      </c>
    </row>
    <row r="37" spans="1:4" ht="13.5" customHeight="1">
      <c r="B37" s="1" t="s">
        <v>2220</v>
      </c>
    </row>
    <row r="38" spans="1:4" ht="13.5" customHeight="1">
      <c r="C38" s="1" t="s">
        <v>2221</v>
      </c>
    </row>
    <row r="39" spans="1:4" ht="13.5" customHeight="1">
      <c r="C39" s="1" t="s">
        <v>2222</v>
      </c>
    </row>
    <row r="40" spans="1:4" ht="13.5" customHeight="1">
      <c r="C40" s="1" t="s">
        <v>2223</v>
      </c>
    </row>
    <row r="41" spans="1:4" s="3" customFormat="1" ht="13.5" customHeight="1">
      <c r="A41" s="5" t="s">
        <v>2224</v>
      </c>
    </row>
    <row r="42" spans="1:4" ht="13.5" customHeight="1">
      <c r="B42" s="1" t="s">
        <v>2225</v>
      </c>
    </row>
    <row r="43" spans="1:4" ht="13.5" customHeight="1">
      <c r="C43" s="1" t="s">
        <v>2226</v>
      </c>
    </row>
    <row r="44" spans="1:4" ht="13.5" customHeight="1">
      <c r="C44" s="1" t="s">
        <v>2227</v>
      </c>
    </row>
    <row r="45" spans="1:4" ht="13.5" customHeight="1">
      <c r="C45" s="1" t="s">
        <v>2228</v>
      </c>
    </row>
    <row r="46" spans="1:4" ht="13.5" customHeight="1">
      <c r="B46" s="1" t="s">
        <v>2229</v>
      </c>
    </row>
    <row r="47" spans="1:4" ht="13.5" customHeight="1">
      <c r="C47" s="1" t="s">
        <v>2230</v>
      </c>
    </row>
    <row r="48" spans="1:4" ht="13.5" customHeight="1">
      <c r="C48" s="1" t="s">
        <v>2231</v>
      </c>
    </row>
    <row r="49" spans="1:6" ht="13.5" customHeight="1">
      <c r="C49" s="1" t="s">
        <v>2232</v>
      </c>
    </row>
    <row r="50" spans="1:6" ht="13.5" customHeight="1">
      <c r="C50" s="1" t="s">
        <v>2233</v>
      </c>
    </row>
    <row r="51" spans="1:6" ht="13.5" customHeight="1">
      <c r="B51" s="1" t="s">
        <v>2234</v>
      </c>
    </row>
    <row r="52" spans="1:6" ht="13.5" customHeight="1">
      <c r="C52" s="1" t="s">
        <v>2235</v>
      </c>
    </row>
    <row r="53" spans="1:6" ht="13.5" customHeight="1">
      <c r="C53" s="1" t="s">
        <v>2236</v>
      </c>
    </row>
    <row r="54" spans="1:6" ht="13.5" customHeight="1"/>
    <row r="55" spans="1:6" s="3" customFormat="1" ht="13.5" customHeight="1">
      <c r="A55" s="5" t="s">
        <v>2237</v>
      </c>
    </row>
    <row r="56" spans="1:6" ht="13.5" customHeight="1">
      <c r="B56" s="1" t="s">
        <v>2238</v>
      </c>
    </row>
    <row r="57" spans="1:6" ht="13.5" customHeight="1">
      <c r="C57" s="1" t="s">
        <v>2239</v>
      </c>
    </row>
    <row r="58" spans="1:6" ht="13.5" customHeight="1">
      <c r="B58" s="9" t="s">
        <v>2240</v>
      </c>
      <c r="C58" s="1" t="s">
        <v>25</v>
      </c>
    </row>
    <row r="59" spans="1:6" ht="13.5" customHeight="1">
      <c r="B59" s="9"/>
      <c r="C59" s="1" t="s">
        <v>3</v>
      </c>
    </row>
    <row r="60" spans="1:6" ht="13.5" customHeight="1">
      <c r="B60" s="1" t="s">
        <v>2241</v>
      </c>
    </row>
    <row r="61" spans="1:6" ht="13.5" customHeight="1">
      <c r="C61" s="1" t="s">
        <v>2242</v>
      </c>
    </row>
    <row r="62" spans="1:6" ht="13.5" customHeight="1"/>
    <row r="63" spans="1:6" s="3" customFormat="1" ht="13.5" customHeight="1">
      <c r="A63" s="5" t="s">
        <v>2243</v>
      </c>
      <c r="F63" s="4"/>
    </row>
    <row r="64" spans="1:6" ht="13.5" customHeight="1">
      <c r="B64" s="1" t="s">
        <v>2244</v>
      </c>
    </row>
    <row r="65" spans="2:11" ht="13.5" customHeight="1">
      <c r="C65" s="1" t="s">
        <v>2245</v>
      </c>
    </row>
    <row r="66" spans="2:11" ht="13.5" customHeight="1">
      <c r="B66" s="1" t="s">
        <v>2246</v>
      </c>
    </row>
    <row r="67" spans="2:11" ht="13.5" customHeight="1">
      <c r="C67" s="1" t="s">
        <v>2247</v>
      </c>
    </row>
    <row r="68" spans="2:11" ht="13.5" customHeight="1">
      <c r="B68" s="1" t="s">
        <v>2248</v>
      </c>
    </row>
    <row r="69" spans="2:11" ht="13.5" customHeight="1">
      <c r="C69" s="1" t="s">
        <v>2249</v>
      </c>
    </row>
    <row r="70" spans="2:11" ht="13.5" customHeight="1">
      <c r="C70" s="1" t="s">
        <v>2250</v>
      </c>
    </row>
    <row r="71" spans="2:11" ht="13.5" customHeight="1">
      <c r="B71" s="1" t="s">
        <v>2251</v>
      </c>
    </row>
    <row r="72" spans="2:11" ht="13.5" customHeight="1">
      <c r="C72" s="1" t="s">
        <v>2252</v>
      </c>
    </row>
    <row r="73" spans="2:11" ht="13.5" customHeight="1">
      <c r="B73" s="1" t="s">
        <v>2253</v>
      </c>
    </row>
    <row r="74" spans="2:11" ht="13.5" customHeight="1">
      <c r="B74" s="1" t="s">
        <v>2254</v>
      </c>
      <c r="C74" s="1" t="s">
        <v>2255</v>
      </c>
    </row>
    <row r="75" spans="2:11" ht="13.5" customHeight="1">
      <c r="C75" s="822" t="s">
        <v>2</v>
      </c>
      <c r="D75" s="822"/>
      <c r="E75" s="822"/>
      <c r="F75" s="822"/>
      <c r="G75" s="822"/>
      <c r="H75" s="822"/>
      <c r="I75" s="822"/>
      <c r="J75" s="822"/>
      <c r="K75" s="822"/>
    </row>
    <row r="76" spans="2:11" ht="13.5" customHeight="1">
      <c r="C76" s="822"/>
      <c r="D76" s="822"/>
      <c r="E76" s="822"/>
      <c r="F76" s="822"/>
      <c r="G76" s="822"/>
      <c r="H76" s="822"/>
      <c r="I76" s="822"/>
      <c r="J76" s="822"/>
      <c r="K76" s="822"/>
    </row>
    <row r="77" spans="2:11" ht="52.5" customHeight="1">
      <c r="B77" s="8" t="s">
        <v>2256</v>
      </c>
      <c r="C77" s="823" t="s">
        <v>2257</v>
      </c>
      <c r="D77" s="823"/>
      <c r="E77" s="823"/>
      <c r="F77" s="823"/>
      <c r="G77" s="823"/>
      <c r="H77" s="823"/>
      <c r="I77" s="823"/>
      <c r="J77" s="823"/>
      <c r="K77" s="823"/>
    </row>
    <row r="78" spans="2:11" ht="30" customHeight="1">
      <c r="B78" s="6" t="s">
        <v>2240</v>
      </c>
      <c r="C78" s="823" t="s">
        <v>0</v>
      </c>
      <c r="D78" s="823"/>
      <c r="E78" s="823"/>
      <c r="F78" s="823"/>
      <c r="G78" s="823"/>
      <c r="H78" s="823"/>
      <c r="I78" s="823"/>
      <c r="J78" s="823"/>
      <c r="K78" s="823"/>
    </row>
    <row r="79" spans="2:11" ht="13.5" customHeight="1">
      <c r="B79" s="1" t="s">
        <v>2258</v>
      </c>
    </row>
    <row r="80" spans="2:11" ht="13.5" customHeight="1">
      <c r="C80" s="1" t="s">
        <v>2259</v>
      </c>
    </row>
    <row r="81" spans="1:13" ht="13.5" customHeight="1">
      <c r="C81" s="1" t="s">
        <v>2260</v>
      </c>
      <c r="D81" s="1026"/>
      <c r="E81" s="1026"/>
      <c r="F81" s="1026"/>
      <c r="G81" s="1026"/>
      <c r="H81" s="1026"/>
      <c r="I81" s="1026"/>
      <c r="J81" s="1026"/>
      <c r="K81" s="1026"/>
    </row>
    <row r="82" spans="1:13" ht="13.5" customHeight="1">
      <c r="C82" s="1" t="s">
        <v>2261</v>
      </c>
      <c r="E82" s="1026"/>
      <c r="F82" s="1026"/>
      <c r="G82" s="1026"/>
      <c r="H82" s="1026"/>
      <c r="I82" s="1026"/>
      <c r="J82" s="1026"/>
      <c r="K82" s="1026"/>
    </row>
    <row r="83" spans="1:13" ht="13.5" customHeight="1">
      <c r="C83" s="7" t="s">
        <v>1</v>
      </c>
      <c r="E83" s="1026"/>
      <c r="F83" s="1026"/>
      <c r="G83" s="1026"/>
      <c r="H83" s="1026"/>
      <c r="I83" s="1026"/>
      <c r="J83" s="1026"/>
      <c r="K83" s="1026"/>
    </row>
    <row r="84" spans="1:13" ht="13.5" customHeight="1">
      <c r="E84" s="1026"/>
      <c r="F84" s="1026"/>
      <c r="G84" s="1026"/>
      <c r="H84" s="1026"/>
      <c r="I84" s="1026"/>
      <c r="J84" s="1026"/>
      <c r="K84" s="1026"/>
    </row>
    <row r="85" spans="1:13" ht="13.5" customHeight="1">
      <c r="A85" s="5" t="s">
        <v>13</v>
      </c>
    </row>
    <row r="86" spans="1:13" ht="13.5" customHeight="1">
      <c r="B86" s="1" t="s">
        <v>4</v>
      </c>
    </row>
    <row r="87" spans="1:13" ht="13.5" customHeight="1">
      <c r="B87" s="9" t="s">
        <v>2262</v>
      </c>
      <c r="C87" s="1" t="s">
        <v>5</v>
      </c>
      <c r="D87" s="1" t="s">
        <v>14</v>
      </c>
    </row>
    <row r="88" spans="1:13" ht="13.5" customHeight="1">
      <c r="B88" s="9" t="s">
        <v>2263</v>
      </c>
      <c r="C88" s="1" t="s">
        <v>6</v>
      </c>
      <c r="D88" s="1" t="s">
        <v>15</v>
      </c>
    </row>
    <row r="89" spans="1:13" ht="13.5" customHeight="1">
      <c r="D89" s="1" t="s">
        <v>16</v>
      </c>
    </row>
    <row r="90" spans="1:13" ht="13.5" customHeight="1">
      <c r="B90" s="1" t="s">
        <v>23</v>
      </c>
    </row>
    <row r="91" spans="1:13" ht="13.5" customHeight="1">
      <c r="C91" s="1027" t="s">
        <v>7</v>
      </c>
      <c r="D91" s="10"/>
      <c r="E91" s="10"/>
      <c r="F91" s="11"/>
      <c r="G91" s="10"/>
      <c r="H91" s="11"/>
      <c r="I91" s="10"/>
      <c r="J91" s="10"/>
      <c r="K91" s="10"/>
      <c r="L91" s="10"/>
      <c r="M91" s="10"/>
    </row>
    <row r="92" spans="1:13" ht="13.5" customHeight="1">
      <c r="C92" s="12"/>
      <c r="D92" s="817" t="s">
        <v>8</v>
      </c>
      <c r="E92" s="818"/>
      <c r="F92" s="819"/>
      <c r="G92" s="817" t="s">
        <v>9</v>
      </c>
      <c r="H92" s="818"/>
      <c r="I92" s="819"/>
    </row>
    <row r="93" spans="1:13" ht="27" customHeight="1">
      <c r="C93" s="799" t="s">
        <v>2264</v>
      </c>
      <c r="D93" s="817" t="s">
        <v>10</v>
      </c>
      <c r="E93" s="818"/>
      <c r="F93" s="819"/>
      <c r="G93" s="824" t="s">
        <v>11</v>
      </c>
      <c r="H93" s="825"/>
      <c r="I93" s="826"/>
    </row>
    <row r="94" spans="1:13" ht="26.25" customHeight="1">
      <c r="C94" s="799" t="s">
        <v>2265</v>
      </c>
      <c r="D94" s="824" t="s">
        <v>11</v>
      </c>
      <c r="E94" s="825"/>
      <c r="F94" s="826"/>
      <c r="G94" s="817" t="s">
        <v>12</v>
      </c>
      <c r="H94" s="818"/>
      <c r="I94" s="819"/>
    </row>
    <row r="95" spans="1:13" ht="13.5" customHeight="1">
      <c r="D95" s="1" t="s">
        <v>17</v>
      </c>
    </row>
    <row r="96" spans="1:13" ht="13.5" customHeight="1">
      <c r="D96" s="1" t="s">
        <v>18</v>
      </c>
    </row>
    <row r="97" spans="2:10" ht="6" customHeight="1"/>
    <row r="98" spans="2:10" ht="39" customHeight="1">
      <c r="B98" s="6" t="s">
        <v>2240</v>
      </c>
      <c r="C98" s="827" t="s">
        <v>24</v>
      </c>
      <c r="D98" s="827"/>
      <c r="E98" s="827"/>
      <c r="F98" s="827"/>
      <c r="G98" s="827"/>
      <c r="H98" s="827"/>
      <c r="I98" s="827"/>
      <c r="J98" s="827"/>
    </row>
    <row r="99" spans="2:10" ht="13.5" customHeight="1"/>
    <row r="100" spans="2:10" ht="13.5" customHeight="1"/>
    <row r="101" spans="2:10" ht="13.5" customHeight="1"/>
    <row r="102" spans="2:10" ht="13.5" customHeight="1"/>
    <row r="103" spans="2:10" ht="13.5" customHeight="1"/>
    <row r="104" spans="2:10" ht="13.5" customHeight="1"/>
  </sheetData>
  <mergeCells count="18">
    <mergeCell ref="D93:F93"/>
    <mergeCell ref="G93:I93"/>
    <mergeCell ref="D94:F94"/>
    <mergeCell ref="G94:I94"/>
    <mergeCell ref="C98:J98"/>
    <mergeCell ref="C21:K21"/>
    <mergeCell ref="B26:K26"/>
    <mergeCell ref="C75:K76"/>
    <mergeCell ref="C77:K77"/>
    <mergeCell ref="C78:K78"/>
    <mergeCell ref="D92:F92"/>
    <mergeCell ref="G92:I92"/>
    <mergeCell ref="A1:K1"/>
    <mergeCell ref="B4:K4"/>
    <mergeCell ref="C15:K15"/>
    <mergeCell ref="C16:K16"/>
    <mergeCell ref="C17:K17"/>
    <mergeCell ref="C19:K19"/>
  </mergeCells>
  <phoneticPr fontId="6"/>
  <pageMargins left="0.98425196850393704" right="0.39370078740157483" top="0.78740157480314965" bottom="0.78740157480314965" header="0.51181102362204722" footer="0.51181102362204722"/>
  <pageSetup paperSize="9" scale="95" orientation="portrait" useFirstPageNumber="1" r:id="rId1"/>
  <headerFooter scaleWithDoc="0"/>
  <rowBreaks count="1" manualBreakCount="1">
    <brk id="53" max="10" man="1"/>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F8E53-F26B-42F7-ADCC-1D0667C920DD}">
  <dimension ref="A1:L86"/>
  <sheetViews>
    <sheetView view="pageBreakPreview" zoomScale="60" zoomScaleNormal="50" workbookViewId="0"/>
  </sheetViews>
  <sheetFormatPr defaultColWidth="9" defaultRowHeight="28.5" customHeight="1"/>
  <cols>
    <col min="1" max="1" width="5.6328125" style="1029" customWidth="1"/>
    <col min="2" max="2" width="6.7265625" style="1029" customWidth="1"/>
    <col min="3" max="3" width="26.54296875" style="1029" customWidth="1"/>
    <col min="4" max="4" width="17.7265625" style="1030" customWidth="1"/>
    <col min="5" max="9" width="23.6328125" style="1029" customWidth="1"/>
    <col min="10" max="10" width="10.6328125" style="1029" customWidth="1"/>
    <col min="11" max="11" width="9" style="1029"/>
    <col min="12" max="12" width="21.90625" style="1029" customWidth="1"/>
    <col min="13" max="16384" width="9" style="1029"/>
  </cols>
  <sheetData>
    <row r="1" spans="1:10" ht="35.15" customHeight="1">
      <c r="A1" s="1028" t="s">
        <v>28</v>
      </c>
    </row>
    <row r="2" spans="1:10" ht="20.149999999999999" customHeight="1">
      <c r="A2" s="1031"/>
    </row>
    <row r="3" spans="1:10" ht="27" customHeight="1" thickBot="1">
      <c r="A3" s="1032" t="s">
        <v>2274</v>
      </c>
    </row>
    <row r="4" spans="1:10" s="1030" customFormat="1" ht="27" customHeight="1" thickBot="1">
      <c r="A4" s="1033" t="s">
        <v>29</v>
      </c>
      <c r="B4" s="1034"/>
      <c r="C4" s="1034"/>
      <c r="D4" s="1035"/>
      <c r="E4" s="1036" t="s">
        <v>30</v>
      </c>
      <c r="F4" s="1037" t="s">
        <v>31</v>
      </c>
      <c r="G4" s="1037" t="s">
        <v>32</v>
      </c>
      <c r="H4" s="1038" t="s">
        <v>33</v>
      </c>
      <c r="I4" s="1039" t="s">
        <v>34</v>
      </c>
      <c r="J4" s="1040" t="s">
        <v>35</v>
      </c>
    </row>
    <row r="5" spans="1:10" ht="27" customHeight="1">
      <c r="A5" s="1041" t="s">
        <v>36</v>
      </c>
      <c r="B5" s="1042"/>
      <c r="C5" s="1043" t="s">
        <v>37</v>
      </c>
      <c r="D5" s="1044" t="s">
        <v>38</v>
      </c>
      <c r="E5" s="1045">
        <v>1</v>
      </c>
      <c r="F5" s="1046">
        <v>1</v>
      </c>
      <c r="G5" s="1046">
        <v>0</v>
      </c>
      <c r="H5" s="1047" t="s">
        <v>12</v>
      </c>
      <c r="I5" s="1048" t="s">
        <v>39</v>
      </c>
      <c r="J5" s="1049"/>
    </row>
    <row r="6" spans="1:10" ht="27" customHeight="1">
      <c r="A6" s="1050"/>
      <c r="B6" s="1051"/>
      <c r="C6" s="1052" t="s">
        <v>40</v>
      </c>
      <c r="D6" s="1053" t="s">
        <v>38</v>
      </c>
      <c r="E6" s="1054">
        <v>0</v>
      </c>
      <c r="F6" s="1055">
        <v>21</v>
      </c>
      <c r="G6" s="1055">
        <v>14</v>
      </c>
      <c r="H6" s="1056" t="s">
        <v>12</v>
      </c>
      <c r="I6" s="1057" t="s">
        <v>39</v>
      </c>
      <c r="J6" s="1058"/>
    </row>
    <row r="7" spans="1:10" ht="27" customHeight="1">
      <c r="A7" s="1050"/>
      <c r="B7" s="1051"/>
      <c r="C7" s="1052" t="s">
        <v>41</v>
      </c>
      <c r="D7" s="1053" t="s">
        <v>38</v>
      </c>
      <c r="E7" s="1054">
        <v>0</v>
      </c>
      <c r="F7" s="1055">
        <v>19</v>
      </c>
      <c r="G7" s="1055">
        <v>30</v>
      </c>
      <c r="H7" s="1056" t="s">
        <v>12</v>
      </c>
      <c r="I7" s="1057" t="s">
        <v>39</v>
      </c>
      <c r="J7" s="1058"/>
    </row>
    <row r="8" spans="1:10" ht="27" customHeight="1">
      <c r="A8" s="1050"/>
      <c r="B8" s="1051"/>
      <c r="C8" s="1052" t="s">
        <v>42</v>
      </c>
      <c r="D8" s="1053" t="s">
        <v>38</v>
      </c>
      <c r="E8" s="1054">
        <v>0</v>
      </c>
      <c r="F8" s="1055">
        <v>13</v>
      </c>
      <c r="G8" s="1055">
        <v>32</v>
      </c>
      <c r="H8" s="1056" t="s">
        <v>12</v>
      </c>
      <c r="I8" s="1057" t="s">
        <v>39</v>
      </c>
      <c r="J8" s="1058"/>
    </row>
    <row r="9" spans="1:10" ht="27" customHeight="1">
      <c r="A9" s="1050"/>
      <c r="B9" s="1051"/>
      <c r="C9" s="1052" t="s">
        <v>43</v>
      </c>
      <c r="D9" s="1053" t="s">
        <v>38</v>
      </c>
      <c r="E9" s="1054">
        <v>3</v>
      </c>
      <c r="F9" s="1055">
        <v>1</v>
      </c>
      <c r="G9" s="1055">
        <v>0</v>
      </c>
      <c r="H9" s="1056" t="s">
        <v>12</v>
      </c>
      <c r="I9" s="1057" t="s">
        <v>39</v>
      </c>
      <c r="J9" s="1058"/>
    </row>
    <row r="10" spans="1:10" ht="27" customHeight="1">
      <c r="A10" s="1050"/>
      <c r="B10" s="1051"/>
      <c r="C10" s="1052" t="s">
        <v>44</v>
      </c>
      <c r="D10" s="1053" t="s">
        <v>38</v>
      </c>
      <c r="E10" s="1054">
        <v>0</v>
      </c>
      <c r="F10" s="1055">
        <v>6</v>
      </c>
      <c r="G10" s="1055">
        <v>48</v>
      </c>
      <c r="H10" s="1056" t="s">
        <v>12</v>
      </c>
      <c r="I10" s="1057" t="s">
        <v>39</v>
      </c>
      <c r="J10" s="1058"/>
    </row>
    <row r="11" spans="1:10" ht="27" customHeight="1" thickBot="1">
      <c r="A11" s="1059"/>
      <c r="B11" s="1060"/>
      <c r="C11" s="1061" t="s">
        <v>45</v>
      </c>
      <c r="D11" s="1062" t="s">
        <v>38</v>
      </c>
      <c r="E11" s="1063">
        <f>+SUM(E5:E10)</f>
        <v>4</v>
      </c>
      <c r="F11" s="1064">
        <f>+SUM(F5:F10)</f>
        <v>61</v>
      </c>
      <c r="G11" s="1064">
        <f>+SUM(G5:G10)</f>
        <v>124</v>
      </c>
      <c r="H11" s="1065">
        <v>69</v>
      </c>
      <c r="I11" s="1066">
        <f>SUM(E11:H11)</f>
        <v>258</v>
      </c>
      <c r="J11" s="1067"/>
    </row>
    <row r="12" spans="1:10" ht="27" customHeight="1" thickBot="1">
      <c r="A12" s="1068" t="s">
        <v>46</v>
      </c>
      <c r="B12" s="1069"/>
      <c r="C12" s="1069"/>
      <c r="D12" s="1070" t="s">
        <v>47</v>
      </c>
      <c r="E12" s="1071" t="s">
        <v>39</v>
      </c>
      <c r="F12" s="1072">
        <v>1918018</v>
      </c>
      <c r="G12" s="1072">
        <v>82761</v>
      </c>
      <c r="H12" s="1073">
        <v>1831</v>
      </c>
      <c r="I12" s="1074">
        <f>F12+G12+H12</f>
        <v>2002610</v>
      </c>
      <c r="J12" s="1075"/>
    </row>
    <row r="13" spans="1:10" ht="27" customHeight="1" thickBot="1">
      <c r="A13" s="1076" t="s">
        <v>48</v>
      </c>
      <c r="B13" s="1077"/>
      <c r="C13" s="1077"/>
      <c r="D13" s="1070" t="s">
        <v>49</v>
      </c>
      <c r="E13" s="1078" t="s">
        <v>2275</v>
      </c>
      <c r="F13" s="1079"/>
      <c r="G13" s="1079"/>
      <c r="H13" s="1080"/>
      <c r="I13" s="1081">
        <f>+ROUND((F12+G12+H12)/2022222*100,1)</f>
        <v>99</v>
      </c>
      <c r="J13" s="1082"/>
    </row>
    <row r="14" spans="1:10" ht="27" customHeight="1">
      <c r="A14" s="1083" t="s">
        <v>50</v>
      </c>
      <c r="B14" s="1084" t="s">
        <v>51</v>
      </c>
      <c r="C14" s="1084"/>
      <c r="D14" s="1085" t="s">
        <v>52</v>
      </c>
      <c r="E14" s="1045">
        <v>49747</v>
      </c>
      <c r="F14" s="1046">
        <v>260512</v>
      </c>
      <c r="G14" s="1046">
        <v>16627.697</v>
      </c>
      <c r="H14" s="1086">
        <f>+ROUND(H12*H22*0.365/1000,0)</f>
        <v>134</v>
      </c>
      <c r="I14" s="1087">
        <f>F14+G14</f>
        <v>277139.69699999999</v>
      </c>
      <c r="J14" s="1088"/>
    </row>
    <row r="15" spans="1:10" ht="27" customHeight="1">
      <c r="A15" s="1089"/>
      <c r="B15" s="1090" t="s">
        <v>53</v>
      </c>
      <c r="C15" s="1090"/>
      <c r="D15" s="1091" t="s">
        <v>52</v>
      </c>
      <c r="E15" s="1054">
        <v>49677</v>
      </c>
      <c r="F15" s="1055">
        <v>222313</v>
      </c>
      <c r="G15" s="1055">
        <v>11688.284</v>
      </c>
      <c r="H15" s="1092">
        <f>+ROUND(H14*H16/100,0)</f>
        <v>94</v>
      </c>
      <c r="I15" s="1093">
        <f>F15+G15</f>
        <v>234001.28399999999</v>
      </c>
      <c r="J15" s="1094"/>
    </row>
    <row r="16" spans="1:10" ht="27" customHeight="1">
      <c r="A16" s="1089"/>
      <c r="B16" s="1090" t="s">
        <v>54</v>
      </c>
      <c r="C16" s="1090"/>
      <c r="D16" s="1091" t="s">
        <v>55</v>
      </c>
      <c r="E16" s="1095">
        <f>E15/E14*100</f>
        <v>99.859287997266165</v>
      </c>
      <c r="F16" s="1096">
        <f>+ROUND((F15+527)/(F14+527)*100,1)</f>
        <v>85.4</v>
      </c>
      <c r="G16" s="1096">
        <f>+ROUND(G15/G14*100,1)</f>
        <v>70.3</v>
      </c>
      <c r="H16" s="1097">
        <v>70</v>
      </c>
      <c r="I16" s="1098">
        <f>+ROUND(I15/I14*100,1)</f>
        <v>84.4</v>
      </c>
      <c r="J16" s="1099"/>
    </row>
    <row r="17" spans="1:12" ht="27" customHeight="1">
      <c r="A17" s="1089"/>
      <c r="B17" s="1090" t="s">
        <v>56</v>
      </c>
      <c r="C17" s="1090"/>
      <c r="D17" s="1091" t="s">
        <v>52</v>
      </c>
      <c r="E17" s="1054">
        <v>49644</v>
      </c>
      <c r="F17" s="1055">
        <v>215198</v>
      </c>
      <c r="G17" s="1055">
        <v>10598.513000000001</v>
      </c>
      <c r="H17" s="1092">
        <f>+ROUND(H14*H18/100,0)</f>
        <v>94</v>
      </c>
      <c r="I17" s="1093">
        <f>F17+G17</f>
        <v>225796.51300000001</v>
      </c>
      <c r="J17" s="1094"/>
    </row>
    <row r="18" spans="1:12" ht="27" customHeight="1">
      <c r="A18" s="1089"/>
      <c r="B18" s="1090" t="s">
        <v>57</v>
      </c>
      <c r="C18" s="1090"/>
      <c r="D18" s="1091" t="s">
        <v>55</v>
      </c>
      <c r="E18" s="1095">
        <f>E17/E14*100</f>
        <v>99.79295233883451</v>
      </c>
      <c r="F18" s="1096">
        <f>+ROUND((F17+527)/(F14+527)*100,1)</f>
        <v>82.6</v>
      </c>
      <c r="G18" s="1096">
        <f>+ROUND(G17/G14*100,1)</f>
        <v>63.7</v>
      </c>
      <c r="H18" s="1097">
        <v>70</v>
      </c>
      <c r="I18" s="1098">
        <f>+ROUND(I17/I14*100,1)</f>
        <v>81.5</v>
      </c>
      <c r="J18" s="1099"/>
    </row>
    <row r="19" spans="1:12" ht="27" customHeight="1">
      <c r="A19" s="1089"/>
      <c r="B19" s="1090" t="s">
        <v>58</v>
      </c>
      <c r="C19" s="1090"/>
      <c r="D19" s="1091" t="s">
        <v>59</v>
      </c>
      <c r="E19" s="1054">
        <v>141661</v>
      </c>
      <c r="F19" s="1055">
        <v>843928</v>
      </c>
      <c r="G19" s="1055">
        <v>70626.3</v>
      </c>
      <c r="H19" s="1056" t="s">
        <v>39</v>
      </c>
      <c r="I19" s="1093">
        <f>F19+G19</f>
        <v>914554.3</v>
      </c>
      <c r="J19" s="1094"/>
    </row>
    <row r="20" spans="1:12" ht="27" customHeight="1">
      <c r="A20" s="1089"/>
      <c r="B20" s="1090" t="s">
        <v>60</v>
      </c>
      <c r="C20" s="1090"/>
      <c r="D20" s="1091" t="s">
        <v>59</v>
      </c>
      <c r="E20" s="1054">
        <v>136294</v>
      </c>
      <c r="F20" s="1055">
        <v>715560</v>
      </c>
      <c r="G20" s="1055">
        <v>45555</v>
      </c>
      <c r="H20" s="1092">
        <f>(H22*H12)/1000</f>
        <v>366.2</v>
      </c>
      <c r="I20" s="1093">
        <f>F20+G20</f>
        <v>761115</v>
      </c>
      <c r="J20" s="1094"/>
    </row>
    <row r="21" spans="1:12" ht="27" customHeight="1">
      <c r="A21" s="1089"/>
      <c r="B21" s="1090" t="s">
        <v>61</v>
      </c>
      <c r="C21" s="1090"/>
      <c r="D21" s="1091" t="s">
        <v>62</v>
      </c>
      <c r="E21" s="1100" t="s">
        <v>39</v>
      </c>
      <c r="F21" s="1055">
        <v>439</v>
      </c>
      <c r="G21" s="1055">
        <v>852.82014127875379</v>
      </c>
      <c r="H21" s="1056" t="s">
        <v>39</v>
      </c>
      <c r="I21" s="1093">
        <f>+ROUND((I19-1583)/(F12+G12)*1000,0)</f>
        <v>456</v>
      </c>
      <c r="J21" s="1094"/>
    </row>
    <row r="22" spans="1:12" ht="27" customHeight="1" thickBot="1">
      <c r="A22" s="1101"/>
      <c r="B22" s="1102" t="s">
        <v>63</v>
      </c>
      <c r="C22" s="1102"/>
      <c r="D22" s="1062" t="s">
        <v>62</v>
      </c>
      <c r="E22" s="1103" t="s">
        <v>39</v>
      </c>
      <c r="F22" s="1104">
        <v>370</v>
      </c>
      <c r="G22" s="1104">
        <v>550.08150697337442</v>
      </c>
      <c r="H22" s="1105">
        <v>200</v>
      </c>
      <c r="I22" s="1106">
        <f>+ROUND((I14-1444)/365/(F12+G12)*1000*1000,0)</f>
        <v>378</v>
      </c>
      <c r="J22" s="1107"/>
    </row>
    <row r="23" spans="1:12" ht="27" customHeight="1">
      <c r="A23" s="1083" t="s">
        <v>64</v>
      </c>
      <c r="B23" s="1084" t="s">
        <v>65</v>
      </c>
      <c r="C23" s="1084"/>
      <c r="D23" s="1044" t="s">
        <v>52</v>
      </c>
      <c r="E23" s="1046">
        <f>E27+E32</f>
        <v>50606</v>
      </c>
      <c r="F23" s="1046">
        <f>F27+F32</f>
        <v>246083</v>
      </c>
      <c r="G23" s="1046">
        <f>G27+G32</f>
        <v>23903.295099999999</v>
      </c>
      <c r="H23" s="1047" t="s">
        <v>39</v>
      </c>
      <c r="I23" s="1108">
        <f>I27+I32</f>
        <v>320592.29509999999</v>
      </c>
      <c r="J23" s="1109">
        <v>1</v>
      </c>
    </row>
    <row r="24" spans="1:12" ht="27" customHeight="1">
      <c r="A24" s="1110"/>
      <c r="B24" s="1111" t="s">
        <v>66</v>
      </c>
      <c r="C24" s="1052" t="s">
        <v>67</v>
      </c>
      <c r="D24" s="1091" t="s">
        <v>52</v>
      </c>
      <c r="E24" s="1054">
        <v>43969</v>
      </c>
      <c r="F24" s="1055">
        <v>36338</v>
      </c>
      <c r="G24" s="1055">
        <v>150</v>
      </c>
      <c r="H24" s="1056" t="s">
        <v>39</v>
      </c>
      <c r="I24" s="1112">
        <f>E24+F24+G24</f>
        <v>80457</v>
      </c>
      <c r="J24" s="1113">
        <f>ROUND(I24/$I$23,3)</f>
        <v>0.251</v>
      </c>
    </row>
    <row r="25" spans="1:12" ht="27" customHeight="1">
      <c r="A25" s="1110"/>
      <c r="B25" s="1114"/>
      <c r="C25" s="1052" t="s">
        <v>68</v>
      </c>
      <c r="D25" s="1091" t="s">
        <v>52</v>
      </c>
      <c r="E25" s="1054">
        <v>0</v>
      </c>
      <c r="F25" s="1055">
        <v>0</v>
      </c>
      <c r="G25" s="1055">
        <v>191.2</v>
      </c>
      <c r="H25" s="1056" t="s">
        <v>39</v>
      </c>
      <c r="I25" s="1112">
        <f>E25+F25+G25</f>
        <v>191.2</v>
      </c>
      <c r="J25" s="1113">
        <f t="shared" ref="J25:J31" si="0">ROUND(I25/$I$23,3)</f>
        <v>1E-3</v>
      </c>
    </row>
    <row r="26" spans="1:12" ht="27" customHeight="1">
      <c r="A26" s="1110"/>
      <c r="B26" s="1114"/>
      <c r="C26" s="1052" t="s">
        <v>69</v>
      </c>
      <c r="D26" s="1091" t="s">
        <v>52</v>
      </c>
      <c r="E26" s="1054">
        <v>0</v>
      </c>
      <c r="F26" s="1055">
        <v>56880</v>
      </c>
      <c r="G26" s="1055">
        <v>8039.1212999999998</v>
      </c>
      <c r="H26" s="1056" t="s">
        <v>39</v>
      </c>
      <c r="I26" s="1112">
        <f>E26+F26+G26</f>
        <v>64919.121299999999</v>
      </c>
      <c r="J26" s="1113">
        <f t="shared" si="0"/>
        <v>0.20200000000000001</v>
      </c>
    </row>
    <row r="27" spans="1:12" ht="27" customHeight="1">
      <c r="A27" s="1110"/>
      <c r="B27" s="1115"/>
      <c r="C27" s="1052" t="s">
        <v>45</v>
      </c>
      <c r="D27" s="1091" t="s">
        <v>52</v>
      </c>
      <c r="E27" s="1054">
        <f>SUM(E24:E26)</f>
        <v>43969</v>
      </c>
      <c r="F27" s="1055">
        <f>SUM(F24:F26)</f>
        <v>93218</v>
      </c>
      <c r="G27" s="1055">
        <f>SUM(G24:G26)</f>
        <v>8380.3212999999996</v>
      </c>
      <c r="H27" s="1056" t="s">
        <v>39</v>
      </c>
      <c r="I27" s="1112">
        <f t="shared" ref="I27:I32" si="1">E27+F27+G27</f>
        <v>145567.32130000001</v>
      </c>
      <c r="J27" s="1113">
        <f t="shared" si="0"/>
        <v>0.45400000000000001</v>
      </c>
    </row>
    <row r="28" spans="1:12" ht="27" customHeight="1">
      <c r="A28" s="1110"/>
      <c r="B28" s="1111" t="s">
        <v>70</v>
      </c>
      <c r="C28" s="1052" t="s">
        <v>71</v>
      </c>
      <c r="D28" s="1091" t="s">
        <v>52</v>
      </c>
      <c r="E28" s="1054">
        <v>0</v>
      </c>
      <c r="F28" s="1055">
        <v>9740</v>
      </c>
      <c r="G28" s="1055">
        <v>4152.0569999999998</v>
      </c>
      <c r="H28" s="1056" t="s">
        <v>39</v>
      </c>
      <c r="I28" s="1112">
        <f t="shared" si="1"/>
        <v>13892.057000000001</v>
      </c>
      <c r="J28" s="1113">
        <f t="shared" si="0"/>
        <v>4.2999999999999997E-2</v>
      </c>
      <c r="L28" s="1116"/>
    </row>
    <row r="29" spans="1:12" ht="27" customHeight="1">
      <c r="A29" s="1110"/>
      <c r="B29" s="1114"/>
      <c r="C29" s="1052" t="s">
        <v>72</v>
      </c>
      <c r="D29" s="1091" t="s">
        <v>52</v>
      </c>
      <c r="E29" s="1054">
        <v>0</v>
      </c>
      <c r="F29" s="1055">
        <v>17579</v>
      </c>
      <c r="G29" s="1055">
        <v>98.918999999999997</v>
      </c>
      <c r="H29" s="1056" t="s">
        <v>39</v>
      </c>
      <c r="I29" s="1112">
        <f t="shared" si="1"/>
        <v>17677.919000000002</v>
      </c>
      <c r="J29" s="1113">
        <f>ROUND(I29/$I$23,3)</f>
        <v>5.5E-2</v>
      </c>
      <c r="L29" s="1116"/>
    </row>
    <row r="30" spans="1:12" ht="27" customHeight="1">
      <c r="A30" s="1110"/>
      <c r="B30" s="1114"/>
      <c r="C30" s="1052" t="s">
        <v>73</v>
      </c>
      <c r="D30" s="1091" t="s">
        <v>52</v>
      </c>
      <c r="E30" s="1054">
        <v>1149</v>
      </c>
      <c r="F30" s="1055">
        <v>77673</v>
      </c>
      <c r="G30" s="1055">
        <v>2800.0408000000002</v>
      </c>
      <c r="H30" s="1056" t="s">
        <v>39</v>
      </c>
      <c r="I30" s="1112">
        <f t="shared" si="1"/>
        <v>81622.040800000002</v>
      </c>
      <c r="J30" s="1113">
        <f t="shared" si="0"/>
        <v>0.255</v>
      </c>
      <c r="L30" s="1116"/>
    </row>
    <row r="31" spans="1:12" ht="27" customHeight="1">
      <c r="A31" s="1110"/>
      <c r="B31" s="1114"/>
      <c r="C31" s="1052" t="s">
        <v>74</v>
      </c>
      <c r="D31" s="1091" t="s">
        <v>52</v>
      </c>
      <c r="E31" s="1054">
        <v>5488</v>
      </c>
      <c r="F31" s="1055">
        <v>47873</v>
      </c>
      <c r="G31" s="1055">
        <v>8471.9570000000003</v>
      </c>
      <c r="H31" s="1056" t="s">
        <v>39</v>
      </c>
      <c r="I31" s="1112">
        <f t="shared" si="1"/>
        <v>61832.957000000002</v>
      </c>
      <c r="J31" s="1113">
        <f t="shared" si="0"/>
        <v>0.193</v>
      </c>
      <c r="L31" s="1116"/>
    </row>
    <row r="32" spans="1:12" ht="27" customHeight="1">
      <c r="A32" s="1110"/>
      <c r="B32" s="1115"/>
      <c r="C32" s="1052" t="s">
        <v>45</v>
      </c>
      <c r="D32" s="1091" t="s">
        <v>52</v>
      </c>
      <c r="E32" s="1063">
        <f>SUM(E28:E31)</f>
        <v>6637</v>
      </c>
      <c r="F32" s="1064">
        <f>SUM(F28:F31)</f>
        <v>152865</v>
      </c>
      <c r="G32" s="1064">
        <f>SUM(G28:G31)</f>
        <v>15522.9738</v>
      </c>
      <c r="H32" s="1117" t="s">
        <v>39</v>
      </c>
      <c r="I32" s="1112">
        <f t="shared" si="1"/>
        <v>175024.97380000001</v>
      </c>
      <c r="J32" s="1113">
        <f>ROUND(I32/$I$23,3)</f>
        <v>0.54600000000000004</v>
      </c>
    </row>
    <row r="33" spans="1:10" ht="27" customHeight="1" thickBot="1">
      <c r="A33" s="1118"/>
      <c r="B33" s="1102" t="s">
        <v>75</v>
      </c>
      <c r="C33" s="1102"/>
      <c r="D33" s="1119" t="s">
        <v>52</v>
      </c>
      <c r="E33" s="1103" t="s">
        <v>12</v>
      </c>
      <c r="F33" s="1120">
        <v>50034</v>
      </c>
      <c r="G33" s="1120">
        <v>261.452</v>
      </c>
      <c r="H33" s="1121" t="s">
        <v>39</v>
      </c>
      <c r="I33" s="1122">
        <f>+F33+G33</f>
        <v>50295.451999999997</v>
      </c>
      <c r="J33" s="1123" t="s">
        <v>76</v>
      </c>
    </row>
    <row r="34" spans="1:10" ht="22" customHeight="1">
      <c r="B34" s="1124" t="s">
        <v>77</v>
      </c>
    </row>
    <row r="35" spans="1:10" ht="22" customHeight="1">
      <c r="B35" s="1124" t="s">
        <v>78</v>
      </c>
    </row>
    <row r="36" spans="1:10" ht="22" customHeight="1">
      <c r="B36" s="1124" t="s">
        <v>79</v>
      </c>
    </row>
    <row r="37" spans="1:10" ht="22" customHeight="1">
      <c r="B37" s="1124" t="s">
        <v>80</v>
      </c>
    </row>
    <row r="38" spans="1:10" ht="22" customHeight="1">
      <c r="B38" s="1124" t="s">
        <v>81</v>
      </c>
    </row>
    <row r="39" spans="1:10" ht="8.25" customHeight="1"/>
    <row r="40" spans="1:10" ht="27" customHeight="1" thickBot="1">
      <c r="A40" s="1032" t="s">
        <v>2276</v>
      </c>
    </row>
    <row r="41" spans="1:10" s="1030" customFormat="1" ht="27" customHeight="1" thickBot="1">
      <c r="A41" s="1068" t="s">
        <v>29</v>
      </c>
      <c r="B41" s="1069"/>
      <c r="C41" s="1069"/>
      <c r="D41" s="1125"/>
      <c r="E41" s="1036" t="s">
        <v>30</v>
      </c>
      <c r="F41" s="1037" t="s">
        <v>31</v>
      </c>
      <c r="G41" s="1037" t="s">
        <v>32</v>
      </c>
      <c r="H41" s="1038" t="s">
        <v>33</v>
      </c>
      <c r="I41" s="1039" t="s">
        <v>34</v>
      </c>
      <c r="J41" s="1040" t="s">
        <v>35</v>
      </c>
    </row>
    <row r="42" spans="1:10" ht="27" customHeight="1">
      <c r="A42" s="1126" t="s">
        <v>36</v>
      </c>
      <c r="B42" s="1127"/>
      <c r="C42" s="1128" t="s">
        <v>82</v>
      </c>
      <c r="D42" s="1129" t="s">
        <v>38</v>
      </c>
      <c r="E42" s="1045">
        <v>40</v>
      </c>
      <c r="F42" s="1046">
        <v>5</v>
      </c>
      <c r="G42" s="1130">
        <v>2377</v>
      </c>
      <c r="H42" s="1047" t="s">
        <v>39</v>
      </c>
      <c r="I42" s="1048" t="s">
        <v>39</v>
      </c>
      <c r="J42" s="1049"/>
    </row>
    <row r="43" spans="1:10" ht="27" customHeight="1">
      <c r="A43" s="1126"/>
      <c r="B43" s="1127"/>
      <c r="C43" s="1052" t="s">
        <v>40</v>
      </c>
      <c r="D43" s="1053" t="s">
        <v>38</v>
      </c>
      <c r="E43" s="1131">
        <v>6</v>
      </c>
      <c r="F43" s="1055">
        <v>727</v>
      </c>
      <c r="G43" s="1132"/>
      <c r="H43" s="1056" t="s">
        <v>12</v>
      </c>
      <c r="I43" s="1057" t="s">
        <v>39</v>
      </c>
      <c r="J43" s="1058"/>
    </row>
    <row r="44" spans="1:10" ht="27" customHeight="1">
      <c r="A44" s="1126"/>
      <c r="B44" s="1127"/>
      <c r="C44" s="1052" t="s">
        <v>41</v>
      </c>
      <c r="D44" s="1053" t="s">
        <v>38</v>
      </c>
      <c r="E44" s="1133"/>
      <c r="F44" s="1055">
        <v>477</v>
      </c>
      <c r="G44" s="1132"/>
      <c r="H44" s="1056" t="s">
        <v>12</v>
      </c>
      <c r="I44" s="1057" t="s">
        <v>39</v>
      </c>
      <c r="J44" s="1058"/>
    </row>
    <row r="45" spans="1:10" ht="27" customHeight="1">
      <c r="A45" s="1126"/>
      <c r="B45" s="1127"/>
      <c r="C45" s="1052" t="s">
        <v>42</v>
      </c>
      <c r="D45" s="1053" t="s">
        <v>38</v>
      </c>
      <c r="E45" s="1134"/>
      <c r="F45" s="1055">
        <v>39</v>
      </c>
      <c r="G45" s="1132"/>
      <c r="H45" s="1056" t="s">
        <v>12</v>
      </c>
      <c r="I45" s="1057" t="s">
        <v>39</v>
      </c>
      <c r="J45" s="1058"/>
    </row>
    <row r="46" spans="1:10" ht="27" customHeight="1">
      <c r="A46" s="1126"/>
      <c r="B46" s="1127"/>
      <c r="C46" s="1052" t="s">
        <v>43</v>
      </c>
      <c r="D46" s="1053" t="s">
        <v>38</v>
      </c>
      <c r="E46" s="1054">
        <v>45</v>
      </c>
      <c r="F46" s="1055">
        <v>64</v>
      </c>
      <c r="G46" s="1135"/>
      <c r="H46" s="1056" t="s">
        <v>12</v>
      </c>
      <c r="I46" s="1057" t="s">
        <v>39</v>
      </c>
      <c r="J46" s="1058"/>
    </row>
    <row r="47" spans="1:10" ht="27" customHeight="1">
      <c r="A47" s="1126"/>
      <c r="B47" s="1127"/>
      <c r="C47" s="1052" t="s">
        <v>44</v>
      </c>
      <c r="D47" s="1053" t="s">
        <v>38</v>
      </c>
      <c r="E47" s="1054">
        <v>0</v>
      </c>
      <c r="F47" s="1055">
        <v>9</v>
      </c>
      <c r="G47" s="1055">
        <v>650</v>
      </c>
      <c r="H47" s="1056" t="s">
        <v>12</v>
      </c>
      <c r="I47" s="1057" t="s">
        <v>39</v>
      </c>
      <c r="J47" s="1058"/>
    </row>
    <row r="48" spans="1:10" ht="27" customHeight="1" thickBot="1">
      <c r="A48" s="1126"/>
      <c r="B48" s="1127"/>
      <c r="C48" s="1136" t="s">
        <v>45</v>
      </c>
      <c r="D48" s="1137" t="s">
        <v>38</v>
      </c>
      <c r="E48" s="1138">
        <f>+SUM(E42:E47)</f>
        <v>91</v>
      </c>
      <c r="F48" s="1139">
        <f>+SUM(F42:F47)</f>
        <v>1321</v>
      </c>
      <c r="G48" s="1104">
        <f>+SUM(G42:G47)</f>
        <v>3027</v>
      </c>
      <c r="H48" s="1140">
        <v>8214</v>
      </c>
      <c r="I48" s="1066">
        <f>SUM(E48:H48)</f>
        <v>12653</v>
      </c>
      <c r="J48" s="1067"/>
    </row>
    <row r="49" spans="1:10" ht="27" customHeight="1" thickBot="1">
      <c r="A49" s="1068" t="s">
        <v>46</v>
      </c>
      <c r="B49" s="1069"/>
      <c r="C49" s="1069"/>
      <c r="D49" s="1141" t="s">
        <v>47</v>
      </c>
      <c r="E49" s="1071" t="s">
        <v>12</v>
      </c>
      <c r="F49" s="1072">
        <v>121351209</v>
      </c>
      <c r="G49" s="1072">
        <v>2053193</v>
      </c>
      <c r="H49" s="1073">
        <v>368472</v>
      </c>
      <c r="I49" s="1074">
        <f>F49+G49+H49</f>
        <v>123772874</v>
      </c>
      <c r="J49" s="1075"/>
    </row>
    <row r="50" spans="1:10" ht="27" customHeight="1" thickBot="1">
      <c r="A50" s="1076" t="s">
        <v>48</v>
      </c>
      <c r="B50" s="1077"/>
      <c r="C50" s="1077"/>
      <c r="D50" s="1070" t="s">
        <v>49</v>
      </c>
      <c r="E50" s="1078" t="s">
        <v>2277</v>
      </c>
      <c r="F50" s="1079"/>
      <c r="G50" s="1079"/>
      <c r="H50" s="1080"/>
      <c r="I50" s="1081">
        <v>98.1</v>
      </c>
      <c r="J50" s="1082"/>
    </row>
    <row r="51" spans="1:10" ht="27" customHeight="1" thickBot="1">
      <c r="A51" s="1142" t="s">
        <v>50</v>
      </c>
      <c r="B51" s="1084" t="s">
        <v>51</v>
      </c>
      <c r="C51" s="1084"/>
      <c r="D51" s="1085" t="s">
        <v>52</v>
      </c>
      <c r="E51" s="1045">
        <v>4495252</v>
      </c>
      <c r="F51" s="1046">
        <v>14586766</v>
      </c>
      <c r="G51" s="1046">
        <v>324466</v>
      </c>
      <c r="H51" s="1086">
        <v>26972</v>
      </c>
      <c r="I51" s="1087">
        <f>F51+G51</f>
        <v>14911232</v>
      </c>
      <c r="J51" s="1088"/>
    </row>
    <row r="52" spans="1:10" ht="27" customHeight="1" thickBot="1">
      <c r="A52" s="1143"/>
      <c r="B52" s="1090" t="s">
        <v>53</v>
      </c>
      <c r="C52" s="1090"/>
      <c r="D52" s="1091" t="s">
        <v>52</v>
      </c>
      <c r="E52" s="1054">
        <v>4485563</v>
      </c>
      <c r="F52" s="1055">
        <v>13468583</v>
      </c>
      <c r="G52" s="1055">
        <v>236118</v>
      </c>
      <c r="H52" s="1092">
        <v>18881</v>
      </c>
      <c r="I52" s="1093">
        <f>+F52+G52</f>
        <v>13704701</v>
      </c>
      <c r="J52" s="1094"/>
    </row>
    <row r="53" spans="1:10" ht="27" customHeight="1" thickBot="1">
      <c r="A53" s="1143"/>
      <c r="B53" s="1090" t="s">
        <v>54</v>
      </c>
      <c r="C53" s="1090"/>
      <c r="D53" s="1091" t="s">
        <v>55</v>
      </c>
      <c r="E53" s="1095">
        <f>+ROUND(E52/E51*100,1)</f>
        <v>99.8</v>
      </c>
      <c r="F53" s="1096">
        <f>+ROUND(F52/F51*100,1)</f>
        <v>92.3</v>
      </c>
      <c r="G53" s="1096">
        <f>+ROUND(G52/G51*100,1)</f>
        <v>72.8</v>
      </c>
      <c r="H53" s="1097">
        <v>70</v>
      </c>
      <c r="I53" s="1144">
        <f>+ROUND(I52/I51*100,1)</f>
        <v>91.9</v>
      </c>
      <c r="J53" s="1145"/>
    </row>
    <row r="54" spans="1:10" ht="27" customHeight="1" thickBot="1">
      <c r="A54" s="1143"/>
      <c r="B54" s="1090" t="s">
        <v>56</v>
      </c>
      <c r="C54" s="1090"/>
      <c r="D54" s="1091" t="s">
        <v>52</v>
      </c>
      <c r="E54" s="1054">
        <v>4479692</v>
      </c>
      <c r="F54" s="1055">
        <v>13105141</v>
      </c>
      <c r="G54" s="1055">
        <v>236118</v>
      </c>
      <c r="H54" s="1092">
        <v>18881</v>
      </c>
      <c r="I54" s="1093">
        <f>F54+G54</f>
        <v>13341259</v>
      </c>
      <c r="J54" s="1094"/>
    </row>
    <row r="55" spans="1:10" ht="27" customHeight="1" thickBot="1">
      <c r="A55" s="1143"/>
      <c r="B55" s="1090" t="s">
        <v>57</v>
      </c>
      <c r="C55" s="1090"/>
      <c r="D55" s="1091" t="s">
        <v>55</v>
      </c>
      <c r="E55" s="1095">
        <f>+ROUND(E54/E51*100,1)</f>
        <v>99.7</v>
      </c>
      <c r="F55" s="1096">
        <f>+ROUND(F54/F51*100,1)</f>
        <v>89.8</v>
      </c>
      <c r="G55" s="1096">
        <f>+ROUND(G54/G51*100,1)</f>
        <v>72.8</v>
      </c>
      <c r="H55" s="1146">
        <v>70</v>
      </c>
      <c r="I55" s="1098">
        <f>+ROUND(I54/I51*100,1)</f>
        <v>89.5</v>
      </c>
      <c r="J55" s="1099"/>
    </row>
    <row r="56" spans="1:10" ht="27" customHeight="1" thickBot="1">
      <c r="A56" s="1143"/>
      <c r="B56" s="1090" t="s">
        <v>58</v>
      </c>
      <c r="C56" s="1090"/>
      <c r="D56" s="1091" t="s">
        <v>52</v>
      </c>
      <c r="E56" s="1054">
        <v>13645</v>
      </c>
      <c r="F56" s="1055">
        <v>44693</v>
      </c>
      <c r="G56" s="1055">
        <v>1259.287</v>
      </c>
      <c r="H56" s="1056" t="s">
        <v>39</v>
      </c>
      <c r="I56" s="1093">
        <f>F56+G56</f>
        <v>45952.286999999997</v>
      </c>
      <c r="J56" s="1094"/>
    </row>
    <row r="57" spans="1:10" ht="27" customHeight="1" thickBot="1">
      <c r="A57" s="1143"/>
      <c r="B57" s="1090" t="s">
        <v>60</v>
      </c>
      <c r="C57" s="1090"/>
      <c r="D57" s="1091" t="s">
        <v>52</v>
      </c>
      <c r="E57" s="1054">
        <v>12282</v>
      </c>
      <c r="F57" s="1055">
        <v>39978</v>
      </c>
      <c r="G57" s="1055">
        <f>ROUND(G51/366,0)</f>
        <v>887</v>
      </c>
      <c r="H57" s="1056" t="s">
        <v>39</v>
      </c>
      <c r="I57" s="1093">
        <f>F57+G57</f>
        <v>40865</v>
      </c>
      <c r="J57" s="1094"/>
    </row>
    <row r="58" spans="1:10" ht="27" customHeight="1" thickBot="1">
      <c r="A58" s="1143"/>
      <c r="B58" s="1090" t="s">
        <v>61</v>
      </c>
      <c r="C58" s="1090"/>
      <c r="D58" s="1091" t="s">
        <v>62</v>
      </c>
      <c r="E58" s="1100" t="s">
        <v>12</v>
      </c>
      <c r="F58" s="1055">
        <v>366</v>
      </c>
      <c r="G58" s="1055">
        <f>+ROUND(G56/G49*1000*1000,0)</f>
        <v>613</v>
      </c>
      <c r="H58" s="1056" t="s">
        <v>39</v>
      </c>
      <c r="I58" s="1093">
        <f>+ROUND(I56/(F49+G49)*1000*1000,0)</f>
        <v>372</v>
      </c>
      <c r="J58" s="1094"/>
    </row>
    <row r="59" spans="1:10" ht="27" customHeight="1" thickBot="1">
      <c r="A59" s="1143"/>
      <c r="B59" s="1102" t="s">
        <v>63</v>
      </c>
      <c r="C59" s="1102"/>
      <c r="D59" s="1119" t="s">
        <v>62</v>
      </c>
      <c r="E59" s="1103" t="s">
        <v>12</v>
      </c>
      <c r="F59" s="1104">
        <v>328</v>
      </c>
      <c r="G59" s="1104">
        <f>+ROUND(G57/G49*1000*1000,0)</f>
        <v>432</v>
      </c>
      <c r="H59" s="1120">
        <v>200</v>
      </c>
      <c r="I59" s="1106">
        <f>+ROUND(I57/(F49+G49)*1000*1000,0)</f>
        <v>331</v>
      </c>
      <c r="J59" s="1107"/>
    </row>
    <row r="60" spans="1:10" ht="27" customHeight="1">
      <c r="A60" s="1083" t="s">
        <v>64</v>
      </c>
      <c r="B60" s="1084" t="s">
        <v>65</v>
      </c>
      <c r="C60" s="1084"/>
      <c r="D60" s="1085" t="s">
        <v>52</v>
      </c>
      <c r="E60" s="1045">
        <f>E64+E68+E69</f>
        <v>4644712</v>
      </c>
      <c r="F60" s="1046">
        <f>F64+F68+F69</f>
        <v>10735844</v>
      </c>
      <c r="G60" s="1147">
        <f>G61+G68+G69</f>
        <v>373993.82899999997</v>
      </c>
      <c r="H60" s="1047" t="s">
        <v>39</v>
      </c>
      <c r="I60" s="1108">
        <f>+I64+I68+I69</f>
        <v>15380556</v>
      </c>
      <c r="J60" s="1109">
        <v>1</v>
      </c>
    </row>
    <row r="61" spans="1:10" ht="27" customHeight="1">
      <c r="A61" s="1110"/>
      <c r="B61" s="1111" t="s">
        <v>66</v>
      </c>
      <c r="C61" s="1052" t="s">
        <v>67</v>
      </c>
      <c r="D61" s="1091" t="s">
        <v>52</v>
      </c>
      <c r="E61" s="1054">
        <v>3818201</v>
      </c>
      <c r="F61" s="1148">
        <v>3555289</v>
      </c>
      <c r="G61" s="1149">
        <v>171955.84599999999</v>
      </c>
      <c r="H61" s="1056" t="s">
        <v>39</v>
      </c>
      <c r="I61" s="1112">
        <f>E61+F61</f>
        <v>7373490</v>
      </c>
      <c r="J61" s="1113">
        <f>I61/$I$60</f>
        <v>0.47940334536670848</v>
      </c>
    </row>
    <row r="62" spans="1:10" ht="27" customHeight="1">
      <c r="A62" s="1110"/>
      <c r="B62" s="1114"/>
      <c r="C62" s="1052" t="s">
        <v>68</v>
      </c>
      <c r="D62" s="1091" t="s">
        <v>52</v>
      </c>
      <c r="E62" s="1054">
        <v>64167</v>
      </c>
      <c r="F62" s="1148">
        <v>154693</v>
      </c>
      <c r="G62" s="1150"/>
      <c r="H62" s="1056" t="s">
        <v>39</v>
      </c>
      <c r="I62" s="1112">
        <f>E62+F62</f>
        <v>218860</v>
      </c>
      <c r="J62" s="1113">
        <f t="shared" ref="J62:J69" si="2">I62/$I$60</f>
        <v>1.4229654636672433E-2</v>
      </c>
    </row>
    <row r="63" spans="1:10" ht="27" customHeight="1">
      <c r="A63" s="1110"/>
      <c r="B63" s="1114"/>
      <c r="C63" s="1052" t="s">
        <v>69</v>
      </c>
      <c r="D63" s="1091" t="s">
        <v>52</v>
      </c>
      <c r="E63" s="1054">
        <v>668679</v>
      </c>
      <c r="F63" s="1148">
        <v>3229615</v>
      </c>
      <c r="G63" s="1150"/>
      <c r="H63" s="1056" t="s">
        <v>39</v>
      </c>
      <c r="I63" s="1112">
        <f>E63+F63</f>
        <v>3898294</v>
      </c>
      <c r="J63" s="1113">
        <f t="shared" si="2"/>
        <v>0.25345598689670257</v>
      </c>
    </row>
    <row r="64" spans="1:10" ht="27" customHeight="1">
      <c r="A64" s="1110"/>
      <c r="B64" s="1115"/>
      <c r="C64" s="1052" t="s">
        <v>45</v>
      </c>
      <c r="D64" s="1091" t="s">
        <v>52</v>
      </c>
      <c r="E64" s="1054">
        <f>SUM(E61:E63)</f>
        <v>4551047</v>
      </c>
      <c r="F64" s="1148">
        <f>SUM(F61:F63)</f>
        <v>6939597</v>
      </c>
      <c r="G64" s="1151"/>
      <c r="H64" s="1056" t="s">
        <v>39</v>
      </c>
      <c r="I64" s="1112">
        <f>SUM(I61:I63)</f>
        <v>11490644</v>
      </c>
      <c r="J64" s="1113">
        <f t="shared" si="2"/>
        <v>0.74708898690008341</v>
      </c>
    </row>
    <row r="65" spans="1:10" ht="27" customHeight="1">
      <c r="A65" s="1110"/>
      <c r="B65" s="1111" t="s">
        <v>70</v>
      </c>
      <c r="C65" s="1052" t="s">
        <v>71</v>
      </c>
      <c r="D65" s="1091" t="s">
        <v>52</v>
      </c>
      <c r="E65" s="1054">
        <v>40803</v>
      </c>
      <c r="F65" s="1148">
        <v>467981</v>
      </c>
      <c r="G65" s="1148">
        <v>32976.199000000001</v>
      </c>
      <c r="H65" s="1056" t="s">
        <v>39</v>
      </c>
      <c r="I65" s="1112">
        <f>E65+F65</f>
        <v>508784</v>
      </c>
      <c r="J65" s="1113">
        <f t="shared" si="2"/>
        <v>3.3079688406582958E-2</v>
      </c>
    </row>
    <row r="66" spans="1:10" ht="27" customHeight="1">
      <c r="A66" s="1110"/>
      <c r="B66" s="1114"/>
      <c r="C66" s="1052" t="s">
        <v>72</v>
      </c>
      <c r="D66" s="1091" t="s">
        <v>52</v>
      </c>
      <c r="E66" s="1054">
        <v>14852</v>
      </c>
      <c r="F66" s="1148">
        <v>1019078</v>
      </c>
      <c r="G66" s="1148">
        <v>61974.874000000003</v>
      </c>
      <c r="H66" s="1056" t="s">
        <v>39</v>
      </c>
      <c r="I66" s="1112">
        <f>E66+F66</f>
        <v>1033930</v>
      </c>
      <c r="J66" s="1113">
        <f t="shared" si="2"/>
        <v>6.7223187510256452E-2</v>
      </c>
    </row>
    <row r="67" spans="1:10" ht="27" customHeight="1">
      <c r="A67" s="1110"/>
      <c r="B67" s="1114"/>
      <c r="C67" s="1052" t="s">
        <v>73</v>
      </c>
      <c r="D67" s="1091" t="s">
        <v>52</v>
      </c>
      <c r="E67" s="1054">
        <v>15078</v>
      </c>
      <c r="F67" s="1148">
        <v>1890972</v>
      </c>
      <c r="G67" s="1148">
        <v>90559.887000000002</v>
      </c>
      <c r="H67" s="1056" t="s">
        <v>39</v>
      </c>
      <c r="I67" s="1112">
        <f>E67+F67</f>
        <v>1906050</v>
      </c>
      <c r="J67" s="1113">
        <f t="shared" si="2"/>
        <v>0.12392594910092977</v>
      </c>
    </row>
    <row r="68" spans="1:10" ht="27" customHeight="1">
      <c r="A68" s="1110"/>
      <c r="B68" s="1115"/>
      <c r="C68" s="1052" t="s">
        <v>45</v>
      </c>
      <c r="D68" s="1091" t="s">
        <v>52</v>
      </c>
      <c r="E68" s="1063">
        <f>SUM(E65:E67)</f>
        <v>70733</v>
      </c>
      <c r="F68" s="1152">
        <f>SUM(F65:F67)</f>
        <v>3378031</v>
      </c>
      <c r="G68" s="1152">
        <f>SUM(G65:G67)</f>
        <v>185510.96000000002</v>
      </c>
      <c r="H68" s="1117" t="s">
        <v>39</v>
      </c>
      <c r="I68" s="1153">
        <f>SUM(I65:I67)</f>
        <v>3448764</v>
      </c>
      <c r="J68" s="1113">
        <f>I68/$I$60</f>
        <v>0.2242288250177692</v>
      </c>
    </row>
    <row r="69" spans="1:10" ht="27" customHeight="1">
      <c r="A69" s="1110"/>
      <c r="B69" s="1154" t="s">
        <v>83</v>
      </c>
      <c r="C69" s="1155"/>
      <c r="D69" s="1156" t="s">
        <v>52</v>
      </c>
      <c r="E69" s="1054">
        <v>22932</v>
      </c>
      <c r="F69" s="1152">
        <v>418216</v>
      </c>
      <c r="G69" s="1152">
        <v>16527.023000000001</v>
      </c>
      <c r="H69" s="1117" t="s">
        <v>12</v>
      </c>
      <c r="I69" s="1153">
        <f>E69+F69</f>
        <v>441148</v>
      </c>
      <c r="J69" s="1113">
        <f t="shared" si="2"/>
        <v>2.8682188082147356E-2</v>
      </c>
    </row>
    <row r="70" spans="1:10" ht="27" customHeight="1" thickBot="1">
      <c r="A70" s="1118"/>
      <c r="B70" s="1102" t="s">
        <v>75</v>
      </c>
      <c r="C70" s="1102"/>
      <c r="D70" s="1062" t="s">
        <v>52</v>
      </c>
      <c r="E70" s="1157" t="s">
        <v>76</v>
      </c>
      <c r="F70" s="1158">
        <v>4497273</v>
      </c>
      <c r="G70" s="1158">
        <v>13126.475</v>
      </c>
      <c r="H70" s="1121" t="s">
        <v>39</v>
      </c>
      <c r="I70" s="1158">
        <f>F70</f>
        <v>4497273</v>
      </c>
      <c r="J70" s="1159" t="s">
        <v>76</v>
      </c>
    </row>
    <row r="71" spans="1:10" ht="22" customHeight="1">
      <c r="B71" s="1124" t="s">
        <v>84</v>
      </c>
    </row>
    <row r="72" spans="1:10" ht="22" customHeight="1">
      <c r="B72" s="1124" t="s">
        <v>2278</v>
      </c>
    </row>
    <row r="73" spans="1:10" ht="22" customHeight="1">
      <c r="B73" s="1124" t="s">
        <v>85</v>
      </c>
    </row>
    <row r="74" spans="1:10" ht="22" customHeight="1">
      <c r="B74" s="1124" t="s">
        <v>86</v>
      </c>
    </row>
    <row r="75" spans="1:10" ht="22" customHeight="1">
      <c r="B75" s="1124" t="s">
        <v>87</v>
      </c>
    </row>
    <row r="76" spans="1:10" ht="27" customHeight="1"/>
    <row r="77" spans="1:10" ht="27" customHeight="1"/>
    <row r="78" spans="1:10" ht="27" customHeight="1"/>
    <row r="79" spans="1:10" ht="27" customHeight="1"/>
    <row r="80" spans="1:10" ht="27" customHeight="1"/>
    <row r="81" ht="27" customHeight="1"/>
    <row r="82" ht="27" customHeight="1"/>
    <row r="83" ht="27" customHeight="1"/>
    <row r="84" ht="27" customHeight="1"/>
    <row r="85" ht="27" customHeight="1"/>
    <row r="86" ht="27" customHeight="1"/>
  </sheetData>
  <mergeCells count="57">
    <mergeCell ref="A60:A70"/>
    <mergeCell ref="B61:B64"/>
    <mergeCell ref="G61:G64"/>
    <mergeCell ref="B65:B68"/>
    <mergeCell ref="A51:A59"/>
    <mergeCell ref="I51:J51"/>
    <mergeCell ref="I52:J52"/>
    <mergeCell ref="I53:J53"/>
    <mergeCell ref="I54:J54"/>
    <mergeCell ref="I55:J55"/>
    <mergeCell ref="I56:J56"/>
    <mergeCell ref="I57:J57"/>
    <mergeCell ref="I58:J58"/>
    <mergeCell ref="I59:J59"/>
    <mergeCell ref="I48:J48"/>
    <mergeCell ref="A49:C49"/>
    <mergeCell ref="I49:J49"/>
    <mergeCell ref="A50:C50"/>
    <mergeCell ref="E50:H50"/>
    <mergeCell ref="I50:J50"/>
    <mergeCell ref="A41:D41"/>
    <mergeCell ref="A42:B48"/>
    <mergeCell ref="G42:G46"/>
    <mergeCell ref="I42:J42"/>
    <mergeCell ref="E43:E45"/>
    <mergeCell ref="I43:J43"/>
    <mergeCell ref="I44:J44"/>
    <mergeCell ref="I45:J45"/>
    <mergeCell ref="I46:J46"/>
    <mergeCell ref="I47:J47"/>
    <mergeCell ref="I18:J18"/>
    <mergeCell ref="I19:J19"/>
    <mergeCell ref="I20:J20"/>
    <mergeCell ref="I21:J21"/>
    <mergeCell ref="I22:J22"/>
    <mergeCell ref="A23:A33"/>
    <mergeCell ref="B24:B27"/>
    <mergeCell ref="B28:B32"/>
    <mergeCell ref="A12:C12"/>
    <mergeCell ref="I12:J12"/>
    <mergeCell ref="A13:C13"/>
    <mergeCell ref="E13:H13"/>
    <mergeCell ref="I13:J13"/>
    <mergeCell ref="A14:A22"/>
    <mergeCell ref="I14:J14"/>
    <mergeCell ref="I15:J15"/>
    <mergeCell ref="I16:J16"/>
    <mergeCell ref="I17:J17"/>
    <mergeCell ref="A4:D4"/>
    <mergeCell ref="A5:B11"/>
    <mergeCell ref="I5:J5"/>
    <mergeCell ref="I6:J6"/>
    <mergeCell ref="I7:J7"/>
    <mergeCell ref="I8:J8"/>
    <mergeCell ref="I9:J9"/>
    <mergeCell ref="I10:J10"/>
    <mergeCell ref="I11:J11"/>
  </mergeCells>
  <phoneticPr fontId="6"/>
  <printOptions horizontalCentered="1"/>
  <pageMargins left="0.98425196850393704" right="0.59055118110236227" top="0.19685039370078741" bottom="0.39370078740157483" header="0.51181102362204722" footer="0.27559055118110237"/>
  <pageSetup paperSize="9" scale="43" orientation="portrait" r:id="rId1"/>
  <headerFooter alignWithMargins="0"/>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967C01-CFB1-4B5A-AFF4-D0AFE380CFBB}">
  <dimension ref="A1:I186"/>
  <sheetViews>
    <sheetView view="pageBreakPreview" zoomScaleNormal="100" zoomScaleSheetLayoutView="100" workbookViewId="0"/>
  </sheetViews>
  <sheetFormatPr defaultColWidth="9" defaultRowHeight="12"/>
  <cols>
    <col min="1" max="8" width="9" style="14"/>
    <col min="9" max="9" width="16.08984375" style="14" customWidth="1"/>
    <col min="10" max="16384" width="9" style="14"/>
  </cols>
  <sheetData>
    <row r="1" spans="1:5" ht="20.149999999999999" customHeight="1">
      <c r="A1" s="13" t="s">
        <v>2279</v>
      </c>
      <c r="D1" s="15"/>
      <c r="E1" s="15"/>
    </row>
    <row r="2" spans="1:5" ht="12" customHeight="1">
      <c r="A2" s="16"/>
    </row>
    <row r="3" spans="1:5" ht="12" customHeight="1">
      <c r="A3" s="16"/>
    </row>
    <row r="4" spans="1:5" ht="12" customHeight="1">
      <c r="A4" s="16"/>
    </row>
    <row r="5" spans="1:5" ht="15" customHeight="1">
      <c r="A5" s="17" t="s">
        <v>88</v>
      </c>
      <c r="B5" s="15"/>
      <c r="C5" s="15"/>
    </row>
    <row r="6" spans="1:5" ht="12" customHeight="1">
      <c r="A6" s="16"/>
    </row>
    <row r="7" spans="1:5" ht="12" customHeight="1">
      <c r="A7" s="16"/>
    </row>
    <row r="8" spans="1:5" ht="12" customHeight="1">
      <c r="A8" s="16"/>
    </row>
    <row r="9" spans="1:5" ht="12" customHeight="1">
      <c r="A9" s="16"/>
    </row>
    <row r="10" spans="1:5" ht="12" customHeight="1">
      <c r="A10" s="16"/>
    </row>
    <row r="11" spans="1:5" ht="12" customHeight="1">
      <c r="A11" s="16"/>
    </row>
    <row r="12" spans="1:5" ht="12" customHeight="1">
      <c r="A12" s="16"/>
    </row>
    <row r="13" spans="1:5" ht="12" customHeight="1">
      <c r="A13" s="16"/>
    </row>
    <row r="14" spans="1:5" ht="12" customHeight="1">
      <c r="A14" s="16"/>
    </row>
    <row r="15" spans="1:5" ht="12" customHeight="1">
      <c r="A15" s="16"/>
    </row>
    <row r="16" spans="1:5" ht="12" customHeight="1">
      <c r="A16" s="16"/>
    </row>
    <row r="17" spans="1:1" ht="12" customHeight="1">
      <c r="A17" s="16"/>
    </row>
    <row r="18" spans="1:1" ht="12" customHeight="1">
      <c r="A18" s="16"/>
    </row>
    <row r="19" spans="1:1" ht="12" customHeight="1">
      <c r="A19" s="16"/>
    </row>
    <row r="20" spans="1:1" ht="12" customHeight="1">
      <c r="A20" s="16"/>
    </row>
    <row r="21" spans="1:1" ht="12" customHeight="1">
      <c r="A21" s="16"/>
    </row>
    <row r="22" spans="1:1" ht="12" customHeight="1">
      <c r="A22" s="16"/>
    </row>
    <row r="23" spans="1:1" ht="12" customHeight="1">
      <c r="A23" s="16"/>
    </row>
    <row r="24" spans="1:1" ht="12" customHeight="1">
      <c r="A24" s="16"/>
    </row>
    <row r="25" spans="1:1" ht="12" customHeight="1">
      <c r="A25" s="16"/>
    </row>
    <row r="26" spans="1:1" ht="12" customHeight="1">
      <c r="A26" s="16"/>
    </row>
    <row r="27" spans="1:1" ht="12" customHeight="1">
      <c r="A27" s="16"/>
    </row>
    <row r="28" spans="1:1" ht="12" customHeight="1">
      <c r="A28" s="16"/>
    </row>
    <row r="29" spans="1:1" ht="12" customHeight="1">
      <c r="A29" s="16"/>
    </row>
    <row r="30" spans="1:1" ht="12" customHeight="1">
      <c r="A30" s="16"/>
    </row>
    <row r="31" spans="1:1" ht="12" customHeight="1">
      <c r="A31" s="16"/>
    </row>
    <row r="32" spans="1:1" ht="12" customHeight="1">
      <c r="A32" s="16"/>
    </row>
    <row r="33" spans="1:2" ht="12" customHeight="1">
      <c r="A33" s="16"/>
    </row>
    <row r="34" spans="1:2" ht="12" customHeight="1">
      <c r="A34" s="16"/>
    </row>
    <row r="35" spans="1:2" ht="12" customHeight="1">
      <c r="A35" s="16"/>
    </row>
    <row r="36" spans="1:2" ht="15" customHeight="1">
      <c r="A36" s="17" t="s">
        <v>89</v>
      </c>
      <c r="B36" s="15"/>
    </row>
    <row r="37" spans="1:2" ht="12" customHeight="1"/>
    <row r="38" spans="1:2" ht="12" customHeight="1"/>
    <row r="39" spans="1:2" ht="12" customHeight="1"/>
    <row r="40" spans="1:2" ht="12" customHeight="1"/>
    <row r="41" spans="1:2" ht="12" customHeight="1"/>
    <row r="42" spans="1:2" ht="12" customHeight="1"/>
    <row r="43" spans="1:2" ht="12" customHeight="1"/>
    <row r="44" spans="1:2" ht="12" customHeight="1"/>
    <row r="45" spans="1:2" ht="12" customHeight="1"/>
    <row r="46" spans="1:2" ht="12" customHeight="1"/>
    <row r="47" spans="1:2" ht="12" customHeight="1"/>
    <row r="48" spans="1:2" ht="12" customHeight="1"/>
    <row r="49" ht="12" customHeight="1"/>
    <row r="50" ht="12" customHeight="1"/>
    <row r="51" ht="12" customHeight="1"/>
    <row r="52" ht="12" customHeight="1"/>
    <row r="53" ht="12" customHeight="1"/>
    <row r="54" ht="12" customHeight="1"/>
    <row r="55" ht="12" customHeight="1"/>
    <row r="56" ht="12" customHeight="1"/>
    <row r="57" ht="12" customHeight="1"/>
    <row r="58" ht="12" customHeight="1"/>
    <row r="59" ht="12" customHeight="1"/>
    <row r="60" ht="12" customHeight="1"/>
    <row r="61" ht="12" customHeight="1"/>
    <row r="62" ht="12" customHeight="1"/>
    <row r="63" ht="12" customHeight="1"/>
    <row r="64" ht="12" customHeight="1"/>
    <row r="65" spans="1:3" ht="12" customHeight="1"/>
    <row r="66" spans="1:3" ht="12" customHeight="1"/>
    <row r="67" spans="1:3" ht="12" customHeight="1"/>
    <row r="68" spans="1:3" ht="12" customHeight="1"/>
    <row r="69" spans="1:3" ht="15" customHeight="1">
      <c r="A69" s="17" t="s">
        <v>90</v>
      </c>
      <c r="B69" s="15"/>
      <c r="C69" s="15"/>
    </row>
    <row r="70" spans="1:3" ht="12" customHeight="1">
      <c r="A70" s="18"/>
    </row>
    <row r="71" spans="1:3" ht="12" customHeight="1">
      <c r="A71" s="19"/>
    </row>
    <row r="72" spans="1:3" ht="12" customHeight="1"/>
    <row r="73" spans="1:3" ht="12" customHeight="1"/>
    <row r="74" spans="1:3" ht="12" customHeight="1"/>
    <row r="75" spans="1:3" ht="12" customHeight="1"/>
    <row r="76" spans="1:3" ht="12" customHeight="1"/>
    <row r="77" spans="1:3" ht="12" customHeight="1"/>
    <row r="78" spans="1:3" ht="12" customHeight="1"/>
    <row r="79" spans="1:3" ht="12" customHeight="1"/>
    <row r="80" spans="1:3" ht="12" customHeight="1"/>
    <row r="81" spans="1:3" ht="12" customHeight="1"/>
    <row r="82" spans="1:3" ht="12" customHeight="1"/>
    <row r="83" spans="1:3" ht="12" customHeight="1"/>
    <row r="84" spans="1:3" ht="12" customHeight="1"/>
    <row r="85" spans="1:3" ht="12" customHeight="1"/>
    <row r="86" spans="1:3" ht="12" customHeight="1"/>
    <row r="87" spans="1:3" ht="12" customHeight="1"/>
    <row r="88" spans="1:3" ht="12" customHeight="1"/>
    <row r="89" spans="1:3" ht="12" customHeight="1"/>
    <row r="90" spans="1:3" ht="12" customHeight="1"/>
    <row r="91" spans="1:3" ht="12" customHeight="1"/>
    <row r="92" spans="1:3" ht="12" customHeight="1"/>
    <row r="93" spans="1:3" ht="15" customHeight="1">
      <c r="A93" s="17" t="s">
        <v>91</v>
      </c>
      <c r="B93" s="15"/>
      <c r="C93" s="15"/>
    </row>
    <row r="94" spans="1:3" ht="12" customHeight="1">
      <c r="A94" s="20"/>
    </row>
    <row r="95" spans="1:3" ht="12" customHeight="1"/>
    <row r="96" spans="1:3" ht="12" customHeight="1"/>
    <row r="97" ht="12" customHeight="1"/>
    <row r="98" ht="12" customHeight="1"/>
    <row r="99" ht="12" customHeight="1"/>
    <row r="100" ht="12" customHeight="1"/>
    <row r="101" ht="12" customHeight="1"/>
    <row r="102" ht="12" customHeight="1"/>
    <row r="103" ht="12" customHeight="1"/>
    <row r="104" ht="12" customHeight="1"/>
    <row r="105" ht="12" customHeight="1"/>
    <row r="106" ht="12" customHeight="1"/>
    <row r="107" ht="12" customHeight="1"/>
    <row r="108" ht="12" customHeight="1"/>
    <row r="109" ht="12" customHeight="1"/>
    <row r="110" ht="12" customHeight="1"/>
    <row r="111" ht="12" customHeight="1"/>
    <row r="112" ht="12" customHeight="1"/>
    <row r="113" spans="1:3" ht="12" customHeight="1"/>
    <row r="114" spans="1:3" ht="12" customHeight="1"/>
    <row r="115" spans="1:3" ht="12" customHeight="1"/>
    <row r="116" spans="1:3" ht="12" customHeight="1"/>
    <row r="117" spans="1:3" ht="15" customHeight="1">
      <c r="A117" s="17" t="s">
        <v>92</v>
      </c>
      <c r="B117" s="15"/>
      <c r="C117" s="15"/>
    </row>
    <row r="118" spans="1:3" ht="12" customHeight="1">
      <c r="A118" s="18"/>
    </row>
    <row r="119" spans="1:3" ht="12" customHeight="1"/>
    <row r="120" spans="1:3" ht="12" customHeight="1">
      <c r="A120" s="19"/>
    </row>
    <row r="121" spans="1:3" ht="12" customHeight="1"/>
    <row r="122" spans="1:3" ht="12" customHeight="1"/>
    <row r="123" spans="1:3" ht="12" customHeight="1"/>
    <row r="124" spans="1:3" ht="12" customHeight="1"/>
    <row r="125" spans="1:3" ht="12" customHeight="1"/>
    <row r="126" spans="1:3" ht="12" customHeight="1"/>
    <row r="127" spans="1:3" ht="12" customHeight="1"/>
    <row r="128" spans="1:3" ht="12" customHeight="1"/>
    <row r="129" spans="1:5" ht="12" customHeight="1"/>
    <row r="130" spans="1:5" ht="12" customHeight="1"/>
    <row r="131" spans="1:5" ht="12" customHeight="1"/>
    <row r="132" spans="1:5" ht="12" customHeight="1"/>
    <row r="133" spans="1:5" ht="12" customHeight="1"/>
    <row r="134" spans="1:5" ht="12" customHeight="1"/>
    <row r="135" spans="1:5" ht="12" customHeight="1"/>
    <row r="136" spans="1:5" ht="15" customHeight="1">
      <c r="A136" s="1160" t="s">
        <v>93</v>
      </c>
      <c r="B136" s="15"/>
      <c r="C136" s="15"/>
      <c r="D136" s="15"/>
      <c r="E136" s="15"/>
    </row>
    <row r="137" spans="1:5" ht="12" customHeight="1">
      <c r="A137" s="1161"/>
    </row>
    <row r="138" spans="1:5" ht="12" customHeight="1"/>
    <row r="139" spans="1:5" ht="12" customHeight="1"/>
    <row r="140" spans="1:5" ht="12" customHeight="1"/>
    <row r="141" spans="1:5" ht="12" customHeight="1"/>
    <row r="142" spans="1:5" ht="12" customHeight="1"/>
    <row r="143" spans="1:5" ht="12" customHeight="1"/>
    <row r="144" spans="1:5" ht="12" customHeight="1"/>
    <row r="145" spans="1:2" ht="12" customHeight="1"/>
    <row r="146" spans="1:2" ht="12" customHeight="1"/>
    <row r="147" spans="1:2" ht="12" customHeight="1"/>
    <row r="148" spans="1:2" ht="12" customHeight="1"/>
    <row r="149" spans="1:2" ht="12" customHeight="1"/>
    <row r="150" spans="1:2" ht="12" customHeight="1"/>
    <row r="151" spans="1:2" ht="12" customHeight="1"/>
    <row r="152" spans="1:2" ht="12" customHeight="1"/>
    <row r="153" spans="1:2" ht="12" customHeight="1"/>
    <row r="154" spans="1:2" ht="15" customHeight="1">
      <c r="A154" s="17" t="s">
        <v>94</v>
      </c>
      <c r="B154" s="15"/>
    </row>
    <row r="155" spans="1:2" ht="12" customHeight="1">
      <c r="A155" s="19"/>
    </row>
    <row r="156" spans="1:2" ht="12" customHeight="1"/>
    <row r="157" spans="1:2" ht="12" customHeight="1"/>
    <row r="158" spans="1:2" ht="12" customHeight="1"/>
    <row r="159" spans="1:2" ht="12" customHeight="1"/>
    <row r="160" spans="1:2" ht="12" customHeight="1"/>
    <row r="161" spans="7:9" ht="12" customHeight="1"/>
    <row r="162" spans="7:9" ht="12" customHeight="1"/>
    <row r="163" spans="7:9" ht="12" customHeight="1"/>
    <row r="164" spans="7:9" ht="12" customHeight="1"/>
    <row r="165" spans="7:9" ht="12" customHeight="1"/>
    <row r="166" spans="7:9" ht="12" customHeight="1"/>
    <row r="167" spans="7:9" ht="12" customHeight="1"/>
    <row r="168" spans="7:9" ht="12" customHeight="1"/>
    <row r="169" spans="7:9" ht="12" customHeight="1"/>
    <row r="170" spans="7:9" ht="12" customHeight="1"/>
    <row r="171" spans="7:9" ht="12" customHeight="1"/>
    <row r="172" spans="7:9" ht="12" customHeight="1"/>
    <row r="173" spans="7:9" ht="12" customHeight="1"/>
    <row r="174" spans="7:9" ht="12" customHeight="1">
      <c r="G174" s="21"/>
      <c r="H174" s="21"/>
      <c r="I174" s="21"/>
    </row>
    <row r="175" spans="7:9" ht="12" customHeight="1"/>
    <row r="176" spans="7:9" ht="12" customHeight="1"/>
    <row r="177" ht="12" customHeight="1"/>
    <row r="178" ht="12" customHeight="1"/>
    <row r="179" ht="12" customHeight="1"/>
    <row r="180" ht="12" customHeight="1"/>
    <row r="181" ht="12" customHeight="1"/>
    <row r="182" ht="12" customHeight="1"/>
    <row r="183" ht="12" customHeight="1"/>
    <row r="184" ht="12" customHeight="1"/>
    <row r="185" ht="12" customHeight="1"/>
    <row r="186" ht="12" customHeight="1"/>
  </sheetData>
  <phoneticPr fontId="6"/>
  <printOptions horizontalCentered="1"/>
  <pageMargins left="0.98425196850393704" right="0.39370078740157483" top="0.59055118110236227" bottom="0.59055118110236227" header="0.51181102362204722" footer="0"/>
  <pageSetup paperSize="9" scale="93" orientation="portrait" r:id="rId1"/>
  <headerFooter alignWithMargins="0"/>
  <rowBreaks count="2" manualBreakCount="2">
    <brk id="65" max="8" man="1"/>
    <brk id="135" max="8"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BBF5BC-330E-4D82-B741-DC080AAEFD7D}">
  <dimension ref="A1:O58"/>
  <sheetViews>
    <sheetView view="pageBreakPreview" zoomScaleNormal="100" zoomScaleSheetLayoutView="100" workbookViewId="0">
      <pane xSplit="1" ySplit="4" topLeftCell="B5" activePane="bottomRight" state="frozen"/>
      <selection pane="topRight" activeCell="B1" sqref="B1"/>
      <selection pane="bottomLeft" activeCell="A5" sqref="A5"/>
      <selection pane="bottomRight"/>
    </sheetView>
  </sheetViews>
  <sheetFormatPr defaultColWidth="10" defaultRowHeight="20.149999999999999" customHeight="1"/>
  <cols>
    <col min="1" max="1" width="4" style="1167" customWidth="1"/>
    <col min="2" max="2" width="8.6328125" style="1163" customWidth="1"/>
    <col min="3" max="3" width="4.08984375" style="1164" customWidth="1"/>
    <col min="4" max="4" width="8.6328125" style="1163" customWidth="1"/>
    <col min="5" max="5" width="5.6328125" style="1165" bestFit="1" customWidth="1"/>
    <col min="6" max="6" width="4.08984375" style="1166" customWidth="1"/>
    <col min="7" max="7" width="8.6328125" style="1163" customWidth="1"/>
    <col min="8" max="8" width="5.6328125" style="1165" bestFit="1" customWidth="1"/>
    <col min="9" max="9" width="4.08984375" style="1164" customWidth="1"/>
    <col min="10" max="10" width="8.6328125" style="1163" customWidth="1"/>
    <col min="11" max="11" width="5.6328125" style="1165" bestFit="1" customWidth="1"/>
    <col min="12" max="12" width="4.08984375" style="1164" customWidth="1"/>
    <col min="13" max="13" width="8.6328125" style="1163" bestFit="1" customWidth="1"/>
    <col min="14" max="14" width="5.6328125" style="1165" bestFit="1" customWidth="1"/>
    <col min="15" max="15" width="5.26953125" style="116" customWidth="1"/>
    <col min="16" max="16384" width="10" style="1163"/>
  </cols>
  <sheetData>
    <row r="1" spans="1:15" ht="19.5" customHeight="1">
      <c r="A1" s="1162" t="s">
        <v>196</v>
      </c>
    </row>
    <row r="2" spans="1:15" ht="8.25" hidden="1" customHeight="1"/>
    <row r="3" spans="1:15" s="1167" customFormat="1" ht="17.25" customHeight="1">
      <c r="A3" s="1168" t="s">
        <v>197</v>
      </c>
      <c r="B3" s="1169" t="s">
        <v>198</v>
      </c>
      <c r="C3" s="1170" t="s">
        <v>199</v>
      </c>
      <c r="D3" s="1171"/>
      <c r="E3" s="1172"/>
      <c r="F3" s="1173" t="s">
        <v>200</v>
      </c>
      <c r="G3" s="1174"/>
      <c r="H3" s="1175"/>
      <c r="I3" s="1170" t="s">
        <v>201</v>
      </c>
      <c r="J3" s="1171"/>
      <c r="K3" s="1172"/>
      <c r="L3" s="1176" t="s">
        <v>202</v>
      </c>
      <c r="M3" s="1176"/>
      <c r="N3" s="1176"/>
      <c r="O3" s="1176"/>
    </row>
    <row r="4" spans="1:15" ht="24.75" customHeight="1">
      <c r="A4" s="1168"/>
      <c r="B4" s="1177"/>
      <c r="C4" s="1178" t="s">
        <v>203</v>
      </c>
      <c r="D4" s="1179" t="s">
        <v>204</v>
      </c>
      <c r="E4" s="1180" t="s">
        <v>205</v>
      </c>
      <c r="F4" s="1181" t="s">
        <v>203</v>
      </c>
      <c r="G4" s="1179" t="s">
        <v>204</v>
      </c>
      <c r="H4" s="1180" t="s">
        <v>205</v>
      </c>
      <c r="I4" s="1178" t="s">
        <v>203</v>
      </c>
      <c r="J4" s="1179" t="s">
        <v>204</v>
      </c>
      <c r="K4" s="1180" t="s">
        <v>205</v>
      </c>
      <c r="L4" s="1182" t="s">
        <v>203</v>
      </c>
      <c r="M4" s="1183" t="s">
        <v>204</v>
      </c>
      <c r="N4" s="1184" t="s">
        <v>205</v>
      </c>
      <c r="O4" s="117" t="s">
        <v>206</v>
      </c>
    </row>
    <row r="5" spans="1:15" ht="17.25" customHeight="1">
      <c r="A5" s="1185">
        <v>44</v>
      </c>
      <c r="B5" s="1186">
        <v>1950436</v>
      </c>
      <c r="C5" s="1187">
        <v>65</v>
      </c>
      <c r="D5" s="1188">
        <v>1241480</v>
      </c>
      <c r="E5" s="1189">
        <f t="shared" ref="E5:E44" si="0">ROUND(D5/B5*100,1)</f>
        <v>63.7</v>
      </c>
      <c r="F5" s="1190">
        <v>666</v>
      </c>
      <c r="G5" s="1188">
        <v>363664</v>
      </c>
      <c r="H5" s="1189">
        <f t="shared" ref="H5:H31" si="1">ROUND(G5/B5*100,2)</f>
        <v>18.649999999999999</v>
      </c>
      <c r="I5" s="1187">
        <v>51</v>
      </c>
      <c r="J5" s="1188">
        <v>12600</v>
      </c>
      <c r="K5" s="1189">
        <f t="shared" ref="K5:K44" si="2">ROUND(J5/B5*100,1)</f>
        <v>0.6</v>
      </c>
      <c r="L5" s="1191">
        <f t="shared" ref="L5:M32" si="3">C5+F5+I5</f>
        <v>782</v>
      </c>
      <c r="M5" s="1188">
        <f t="shared" si="3"/>
        <v>1617744</v>
      </c>
      <c r="N5" s="1192">
        <f t="shared" ref="N5:N44" si="4">ROUND(M5/B5*100,1)</f>
        <v>82.9</v>
      </c>
      <c r="O5" s="118" t="s">
        <v>207</v>
      </c>
    </row>
    <row r="6" spans="1:15" ht="17.25" customHeight="1">
      <c r="A6" s="1193">
        <v>45</v>
      </c>
      <c r="B6" s="1194">
        <v>1953910</v>
      </c>
      <c r="C6" s="1195">
        <v>68</v>
      </c>
      <c r="D6" s="1196">
        <v>1274832</v>
      </c>
      <c r="E6" s="1197">
        <f t="shared" si="0"/>
        <v>65.2</v>
      </c>
      <c r="F6" s="1198">
        <v>672</v>
      </c>
      <c r="G6" s="1196">
        <v>355481</v>
      </c>
      <c r="H6" s="1197">
        <f t="shared" si="1"/>
        <v>18.190000000000001</v>
      </c>
      <c r="I6" s="1195">
        <v>53</v>
      </c>
      <c r="J6" s="1196">
        <v>11506</v>
      </c>
      <c r="K6" s="1197">
        <f t="shared" si="2"/>
        <v>0.6</v>
      </c>
      <c r="L6" s="1199">
        <f t="shared" si="3"/>
        <v>793</v>
      </c>
      <c r="M6" s="1196">
        <f t="shared" si="3"/>
        <v>1641819</v>
      </c>
      <c r="N6" s="1200">
        <f t="shared" si="4"/>
        <v>84</v>
      </c>
      <c r="O6" s="119" t="s">
        <v>207</v>
      </c>
    </row>
    <row r="7" spans="1:15" ht="17.25" customHeight="1">
      <c r="A7" s="1193">
        <v>46</v>
      </c>
      <c r="B7" s="1194">
        <v>1965188</v>
      </c>
      <c r="C7" s="1195">
        <v>71</v>
      </c>
      <c r="D7" s="1196">
        <v>1321449</v>
      </c>
      <c r="E7" s="1197">
        <f t="shared" si="0"/>
        <v>67.2</v>
      </c>
      <c r="F7" s="1198">
        <v>657</v>
      </c>
      <c r="G7" s="1196">
        <v>345194</v>
      </c>
      <c r="H7" s="1197">
        <f t="shared" si="1"/>
        <v>17.57</v>
      </c>
      <c r="I7" s="1195">
        <v>53</v>
      </c>
      <c r="J7" s="1196">
        <v>10168</v>
      </c>
      <c r="K7" s="1197">
        <f t="shared" si="2"/>
        <v>0.5</v>
      </c>
      <c r="L7" s="1199">
        <f t="shared" si="3"/>
        <v>781</v>
      </c>
      <c r="M7" s="1196">
        <f t="shared" si="3"/>
        <v>1676811</v>
      </c>
      <c r="N7" s="1200">
        <f t="shared" si="4"/>
        <v>85.3</v>
      </c>
      <c r="O7" s="119" t="s">
        <v>208</v>
      </c>
    </row>
    <row r="8" spans="1:15" ht="17.25" customHeight="1">
      <c r="A8" s="1193">
        <v>47</v>
      </c>
      <c r="B8" s="1194">
        <v>1977521</v>
      </c>
      <c r="C8" s="1195">
        <v>69</v>
      </c>
      <c r="D8" s="1196">
        <v>1363717</v>
      </c>
      <c r="E8" s="1197">
        <f t="shared" si="0"/>
        <v>69</v>
      </c>
      <c r="F8" s="1198">
        <v>632</v>
      </c>
      <c r="G8" s="1196">
        <v>336938</v>
      </c>
      <c r="H8" s="1197">
        <f t="shared" si="1"/>
        <v>17.04</v>
      </c>
      <c r="I8" s="1195">
        <v>56</v>
      </c>
      <c r="J8" s="1196">
        <v>10239</v>
      </c>
      <c r="K8" s="1197">
        <f t="shared" si="2"/>
        <v>0.5</v>
      </c>
      <c r="L8" s="1199">
        <f t="shared" si="3"/>
        <v>757</v>
      </c>
      <c r="M8" s="1196">
        <f t="shared" si="3"/>
        <v>1710894</v>
      </c>
      <c r="N8" s="1200">
        <f t="shared" si="4"/>
        <v>86.5</v>
      </c>
      <c r="O8" s="119" t="s">
        <v>209</v>
      </c>
    </row>
    <row r="9" spans="1:15" ht="17.25" customHeight="1">
      <c r="A9" s="1201">
        <v>48</v>
      </c>
      <c r="B9" s="1202">
        <v>1992155</v>
      </c>
      <c r="C9" s="1203">
        <v>68</v>
      </c>
      <c r="D9" s="1204">
        <v>1408525</v>
      </c>
      <c r="E9" s="1205">
        <f t="shared" si="0"/>
        <v>70.7</v>
      </c>
      <c r="F9" s="1206">
        <v>617</v>
      </c>
      <c r="G9" s="1204">
        <v>330505</v>
      </c>
      <c r="H9" s="1205">
        <f t="shared" si="1"/>
        <v>16.59</v>
      </c>
      <c r="I9" s="1203">
        <v>58</v>
      </c>
      <c r="J9" s="1204">
        <v>10734</v>
      </c>
      <c r="K9" s="1205">
        <f t="shared" si="2"/>
        <v>0.5</v>
      </c>
      <c r="L9" s="1207">
        <f t="shared" si="3"/>
        <v>743</v>
      </c>
      <c r="M9" s="1204">
        <f t="shared" si="3"/>
        <v>1749764</v>
      </c>
      <c r="N9" s="1208">
        <f t="shared" si="4"/>
        <v>87.8</v>
      </c>
      <c r="O9" s="120" t="s">
        <v>210</v>
      </c>
    </row>
    <row r="10" spans="1:15" ht="17.25" customHeight="1">
      <c r="A10" s="1185">
        <v>49</v>
      </c>
      <c r="B10" s="1186">
        <v>2008255</v>
      </c>
      <c r="C10" s="1187">
        <v>68</v>
      </c>
      <c r="D10" s="1188">
        <v>1445592</v>
      </c>
      <c r="E10" s="1189">
        <f t="shared" si="0"/>
        <v>72</v>
      </c>
      <c r="F10" s="1190">
        <v>609</v>
      </c>
      <c r="G10" s="1188">
        <v>314569</v>
      </c>
      <c r="H10" s="1189">
        <f t="shared" si="1"/>
        <v>15.66</v>
      </c>
      <c r="I10" s="1187">
        <v>61</v>
      </c>
      <c r="J10" s="1188">
        <v>10477</v>
      </c>
      <c r="K10" s="1189">
        <f t="shared" si="2"/>
        <v>0.5</v>
      </c>
      <c r="L10" s="1191">
        <f t="shared" si="3"/>
        <v>738</v>
      </c>
      <c r="M10" s="1188">
        <f t="shared" si="3"/>
        <v>1770638</v>
      </c>
      <c r="N10" s="1192">
        <f t="shared" si="4"/>
        <v>88.2</v>
      </c>
      <c r="O10" s="118" t="s">
        <v>209</v>
      </c>
    </row>
    <row r="11" spans="1:15" ht="17.25" customHeight="1">
      <c r="A11" s="1193">
        <v>50</v>
      </c>
      <c r="B11" s="1194">
        <v>2018125</v>
      </c>
      <c r="C11" s="1195">
        <v>68</v>
      </c>
      <c r="D11" s="1196">
        <v>1490168</v>
      </c>
      <c r="E11" s="1197">
        <f t="shared" si="0"/>
        <v>73.8</v>
      </c>
      <c r="F11" s="1198">
        <v>598</v>
      </c>
      <c r="G11" s="1196">
        <v>303435</v>
      </c>
      <c r="H11" s="1197">
        <f t="shared" si="1"/>
        <v>15.04</v>
      </c>
      <c r="I11" s="1195">
        <v>57</v>
      </c>
      <c r="J11" s="1196">
        <v>8743</v>
      </c>
      <c r="K11" s="1197">
        <f t="shared" si="2"/>
        <v>0.4</v>
      </c>
      <c r="L11" s="1199">
        <f t="shared" si="3"/>
        <v>723</v>
      </c>
      <c r="M11" s="1196">
        <f t="shared" si="3"/>
        <v>1802346</v>
      </c>
      <c r="N11" s="1200">
        <f t="shared" si="4"/>
        <v>89.3</v>
      </c>
      <c r="O11" s="119" t="s">
        <v>211</v>
      </c>
    </row>
    <row r="12" spans="1:15" ht="17.25" customHeight="1">
      <c r="A12" s="1193">
        <v>51</v>
      </c>
      <c r="B12" s="1194">
        <v>2033365</v>
      </c>
      <c r="C12" s="1195">
        <v>69</v>
      </c>
      <c r="D12" s="1196">
        <v>1516651</v>
      </c>
      <c r="E12" s="1197">
        <f t="shared" si="0"/>
        <v>74.599999999999994</v>
      </c>
      <c r="F12" s="1198">
        <v>588</v>
      </c>
      <c r="G12" s="1196">
        <v>300235</v>
      </c>
      <c r="H12" s="1197">
        <f t="shared" si="1"/>
        <v>14.77</v>
      </c>
      <c r="I12" s="1195">
        <v>57</v>
      </c>
      <c r="J12" s="1196">
        <v>8118</v>
      </c>
      <c r="K12" s="1197">
        <f t="shared" si="2"/>
        <v>0.4</v>
      </c>
      <c r="L12" s="1199">
        <f t="shared" si="3"/>
        <v>714</v>
      </c>
      <c r="M12" s="1196">
        <f t="shared" si="3"/>
        <v>1825004</v>
      </c>
      <c r="N12" s="1200">
        <f t="shared" si="4"/>
        <v>89.8</v>
      </c>
      <c r="O12" s="119" t="s">
        <v>212</v>
      </c>
    </row>
    <row r="13" spans="1:15" ht="17.25" customHeight="1">
      <c r="A13" s="1193">
        <v>52</v>
      </c>
      <c r="B13" s="1194">
        <v>2048500</v>
      </c>
      <c r="C13" s="1195">
        <v>69</v>
      </c>
      <c r="D13" s="1196">
        <v>1562540</v>
      </c>
      <c r="E13" s="1197">
        <f t="shared" si="0"/>
        <v>76.3</v>
      </c>
      <c r="F13" s="1198">
        <v>566</v>
      </c>
      <c r="G13" s="1196">
        <v>290126</v>
      </c>
      <c r="H13" s="1197">
        <f t="shared" si="1"/>
        <v>14.16</v>
      </c>
      <c r="I13" s="1195">
        <v>55</v>
      </c>
      <c r="J13" s="1196">
        <v>7962</v>
      </c>
      <c r="K13" s="1197">
        <f t="shared" si="2"/>
        <v>0.4</v>
      </c>
      <c r="L13" s="1199">
        <f t="shared" si="3"/>
        <v>690</v>
      </c>
      <c r="M13" s="1196">
        <f t="shared" si="3"/>
        <v>1860628</v>
      </c>
      <c r="N13" s="1200">
        <f t="shared" si="4"/>
        <v>90.8</v>
      </c>
      <c r="O13" s="119" t="s">
        <v>213</v>
      </c>
    </row>
    <row r="14" spans="1:15" ht="17.25" customHeight="1">
      <c r="A14" s="1201">
        <v>53</v>
      </c>
      <c r="B14" s="1202">
        <v>2060982</v>
      </c>
      <c r="C14" s="1203">
        <v>67</v>
      </c>
      <c r="D14" s="1204">
        <v>1606104</v>
      </c>
      <c r="E14" s="1205">
        <f t="shared" si="0"/>
        <v>77.900000000000006</v>
      </c>
      <c r="F14" s="1206">
        <v>532</v>
      </c>
      <c r="G14" s="1204">
        <v>278131</v>
      </c>
      <c r="H14" s="1205">
        <f t="shared" si="1"/>
        <v>13.5</v>
      </c>
      <c r="I14" s="1203">
        <v>55</v>
      </c>
      <c r="J14" s="1204">
        <v>6591</v>
      </c>
      <c r="K14" s="1205">
        <f t="shared" si="2"/>
        <v>0.3</v>
      </c>
      <c r="L14" s="1207">
        <f t="shared" si="3"/>
        <v>654</v>
      </c>
      <c r="M14" s="1204">
        <f t="shared" si="3"/>
        <v>1890826</v>
      </c>
      <c r="N14" s="1208">
        <f t="shared" si="4"/>
        <v>91.7</v>
      </c>
      <c r="O14" s="120" t="s">
        <v>213</v>
      </c>
    </row>
    <row r="15" spans="1:15" ht="17.25" customHeight="1">
      <c r="A15" s="1185">
        <v>54</v>
      </c>
      <c r="B15" s="1186">
        <v>2072352</v>
      </c>
      <c r="C15" s="1187">
        <v>68</v>
      </c>
      <c r="D15" s="1188">
        <v>1631453</v>
      </c>
      <c r="E15" s="1189">
        <f t="shared" si="0"/>
        <v>78.7</v>
      </c>
      <c r="F15" s="1190">
        <v>519</v>
      </c>
      <c r="G15" s="1188">
        <v>277255</v>
      </c>
      <c r="H15" s="1189">
        <f t="shared" si="1"/>
        <v>13.38</v>
      </c>
      <c r="I15" s="1187">
        <v>50</v>
      </c>
      <c r="J15" s="1188">
        <v>5908</v>
      </c>
      <c r="K15" s="1189">
        <f t="shared" si="2"/>
        <v>0.3</v>
      </c>
      <c r="L15" s="1191">
        <f t="shared" si="3"/>
        <v>637</v>
      </c>
      <c r="M15" s="1188">
        <f t="shared" si="3"/>
        <v>1914616</v>
      </c>
      <c r="N15" s="1192">
        <f t="shared" si="4"/>
        <v>92.4</v>
      </c>
      <c r="O15" s="118" t="s">
        <v>213</v>
      </c>
    </row>
    <row r="16" spans="1:15" ht="17.25" customHeight="1">
      <c r="A16" s="1193">
        <v>55</v>
      </c>
      <c r="B16" s="1194">
        <v>2082104</v>
      </c>
      <c r="C16" s="1195">
        <v>69</v>
      </c>
      <c r="D16" s="1196">
        <v>1651264</v>
      </c>
      <c r="E16" s="1197">
        <f t="shared" si="0"/>
        <v>79.3</v>
      </c>
      <c r="F16" s="1198">
        <v>510</v>
      </c>
      <c r="G16" s="1196">
        <v>278294</v>
      </c>
      <c r="H16" s="1197">
        <f t="shared" si="1"/>
        <v>13.37</v>
      </c>
      <c r="I16" s="1195">
        <v>49</v>
      </c>
      <c r="J16" s="1196">
        <v>5094</v>
      </c>
      <c r="K16" s="1197">
        <f t="shared" si="2"/>
        <v>0.2</v>
      </c>
      <c r="L16" s="1199">
        <f t="shared" si="3"/>
        <v>628</v>
      </c>
      <c r="M16" s="1196">
        <f t="shared" si="3"/>
        <v>1934652</v>
      </c>
      <c r="N16" s="1200">
        <f t="shared" si="4"/>
        <v>92.9</v>
      </c>
      <c r="O16" s="119" t="s">
        <v>212</v>
      </c>
    </row>
    <row r="17" spans="1:15" ht="17.25" customHeight="1">
      <c r="A17" s="1193">
        <v>56</v>
      </c>
      <c r="B17" s="1194">
        <v>2090638</v>
      </c>
      <c r="C17" s="1195">
        <v>69</v>
      </c>
      <c r="D17" s="1196">
        <v>1665848</v>
      </c>
      <c r="E17" s="1197">
        <f t="shared" si="0"/>
        <v>79.7</v>
      </c>
      <c r="F17" s="1198">
        <v>496</v>
      </c>
      <c r="G17" s="1196">
        <v>280310</v>
      </c>
      <c r="H17" s="1197">
        <f t="shared" si="1"/>
        <v>13.41</v>
      </c>
      <c r="I17" s="1195">
        <v>44</v>
      </c>
      <c r="J17" s="1196">
        <v>5812</v>
      </c>
      <c r="K17" s="1197">
        <f t="shared" si="2"/>
        <v>0.3</v>
      </c>
      <c r="L17" s="1199">
        <f t="shared" si="3"/>
        <v>609</v>
      </c>
      <c r="M17" s="1196">
        <f t="shared" si="3"/>
        <v>1951970</v>
      </c>
      <c r="N17" s="1200">
        <f t="shared" si="4"/>
        <v>93.4</v>
      </c>
      <c r="O17" s="119" t="s">
        <v>213</v>
      </c>
    </row>
    <row r="18" spans="1:15" ht="17.25" customHeight="1">
      <c r="A18" s="1193">
        <v>57</v>
      </c>
      <c r="B18" s="1194">
        <v>2098028</v>
      </c>
      <c r="C18" s="1195">
        <v>69</v>
      </c>
      <c r="D18" s="1196">
        <v>1685428</v>
      </c>
      <c r="E18" s="1197">
        <f t="shared" si="0"/>
        <v>80.3</v>
      </c>
      <c r="F18" s="1198">
        <v>499</v>
      </c>
      <c r="G18" s="1196">
        <v>279658</v>
      </c>
      <c r="H18" s="1197">
        <f t="shared" si="1"/>
        <v>13.33</v>
      </c>
      <c r="I18" s="1195">
        <v>42</v>
      </c>
      <c r="J18" s="1196">
        <v>5109</v>
      </c>
      <c r="K18" s="1197">
        <f t="shared" si="2"/>
        <v>0.2</v>
      </c>
      <c r="L18" s="1199">
        <f t="shared" si="3"/>
        <v>610</v>
      </c>
      <c r="M18" s="1196">
        <f t="shared" si="3"/>
        <v>1970195</v>
      </c>
      <c r="N18" s="1200">
        <f t="shared" si="4"/>
        <v>93.9</v>
      </c>
      <c r="O18" s="119" t="s">
        <v>213</v>
      </c>
    </row>
    <row r="19" spans="1:15" ht="17.25" customHeight="1">
      <c r="A19" s="1201">
        <v>58</v>
      </c>
      <c r="B19" s="1202">
        <v>2107027</v>
      </c>
      <c r="C19" s="1203">
        <v>69</v>
      </c>
      <c r="D19" s="1204">
        <v>1700639</v>
      </c>
      <c r="E19" s="1205">
        <f t="shared" si="0"/>
        <v>80.7</v>
      </c>
      <c r="F19" s="1206">
        <v>483</v>
      </c>
      <c r="G19" s="1204">
        <v>279438</v>
      </c>
      <c r="H19" s="1205">
        <f t="shared" si="1"/>
        <v>13.26</v>
      </c>
      <c r="I19" s="1203">
        <v>41</v>
      </c>
      <c r="J19" s="1204">
        <v>4860</v>
      </c>
      <c r="K19" s="1205">
        <f t="shared" si="2"/>
        <v>0.2</v>
      </c>
      <c r="L19" s="1207">
        <f t="shared" si="3"/>
        <v>593</v>
      </c>
      <c r="M19" s="1204">
        <f t="shared" si="3"/>
        <v>1984937</v>
      </c>
      <c r="N19" s="1208">
        <f t="shared" si="4"/>
        <v>94.2</v>
      </c>
      <c r="O19" s="120" t="s">
        <v>213</v>
      </c>
    </row>
    <row r="20" spans="1:15" ht="17.25" customHeight="1">
      <c r="A20" s="1185">
        <v>59</v>
      </c>
      <c r="B20" s="1186">
        <v>2116789</v>
      </c>
      <c r="C20" s="1187">
        <v>69</v>
      </c>
      <c r="D20" s="1188">
        <v>1716646</v>
      </c>
      <c r="E20" s="1189">
        <f t="shared" si="0"/>
        <v>81.099999999999994</v>
      </c>
      <c r="F20" s="1190">
        <v>481</v>
      </c>
      <c r="G20" s="1188">
        <v>283616</v>
      </c>
      <c r="H20" s="1189">
        <f t="shared" si="1"/>
        <v>13.4</v>
      </c>
      <c r="I20" s="1187">
        <v>17</v>
      </c>
      <c r="J20" s="1188">
        <v>4775</v>
      </c>
      <c r="K20" s="1189">
        <f t="shared" si="2"/>
        <v>0.2</v>
      </c>
      <c r="L20" s="1191">
        <f t="shared" si="3"/>
        <v>567</v>
      </c>
      <c r="M20" s="1188">
        <f t="shared" si="3"/>
        <v>2005037</v>
      </c>
      <c r="N20" s="1192">
        <f t="shared" si="4"/>
        <v>94.7</v>
      </c>
      <c r="O20" s="118" t="s">
        <v>214</v>
      </c>
    </row>
    <row r="21" spans="1:15" ht="17.25" customHeight="1">
      <c r="A21" s="1193">
        <v>60</v>
      </c>
      <c r="B21" s="1194">
        <v>2133866</v>
      </c>
      <c r="C21" s="1195">
        <v>70</v>
      </c>
      <c r="D21" s="1196">
        <v>1743878</v>
      </c>
      <c r="E21" s="1197">
        <f t="shared" si="0"/>
        <v>81.7</v>
      </c>
      <c r="F21" s="1198">
        <v>487</v>
      </c>
      <c r="G21" s="1196">
        <v>281053</v>
      </c>
      <c r="H21" s="1197">
        <f t="shared" si="1"/>
        <v>13.17</v>
      </c>
      <c r="I21" s="1195">
        <v>14</v>
      </c>
      <c r="J21" s="1196">
        <v>5401</v>
      </c>
      <c r="K21" s="1197">
        <f t="shared" si="2"/>
        <v>0.3</v>
      </c>
      <c r="L21" s="1199">
        <f t="shared" si="3"/>
        <v>571</v>
      </c>
      <c r="M21" s="1196">
        <f t="shared" si="3"/>
        <v>2030332</v>
      </c>
      <c r="N21" s="1200">
        <f t="shared" si="4"/>
        <v>95.1</v>
      </c>
      <c r="O21" s="119" t="s">
        <v>214</v>
      </c>
    </row>
    <row r="22" spans="1:15" ht="17.25" customHeight="1">
      <c r="A22" s="1193">
        <v>61</v>
      </c>
      <c r="B22" s="1194">
        <v>2141099</v>
      </c>
      <c r="C22" s="1195">
        <v>70</v>
      </c>
      <c r="D22" s="1196">
        <v>1757054</v>
      </c>
      <c r="E22" s="1197">
        <f t="shared" si="0"/>
        <v>82.1</v>
      </c>
      <c r="F22" s="1198">
        <v>488</v>
      </c>
      <c r="G22" s="1196">
        <v>285833</v>
      </c>
      <c r="H22" s="1197">
        <f t="shared" si="1"/>
        <v>13.35</v>
      </c>
      <c r="I22" s="1195">
        <v>15</v>
      </c>
      <c r="J22" s="1196">
        <v>5311</v>
      </c>
      <c r="K22" s="1197">
        <f t="shared" si="2"/>
        <v>0.2</v>
      </c>
      <c r="L22" s="1199">
        <f t="shared" si="3"/>
        <v>573</v>
      </c>
      <c r="M22" s="1196">
        <f t="shared" si="3"/>
        <v>2048198</v>
      </c>
      <c r="N22" s="1200">
        <f t="shared" si="4"/>
        <v>95.7</v>
      </c>
      <c r="O22" s="119" t="s">
        <v>214</v>
      </c>
    </row>
    <row r="23" spans="1:15" ht="17.25" customHeight="1">
      <c r="A23" s="1193">
        <v>62</v>
      </c>
      <c r="B23" s="1194">
        <v>2144764</v>
      </c>
      <c r="C23" s="1195">
        <v>70</v>
      </c>
      <c r="D23" s="1196">
        <v>1767524</v>
      </c>
      <c r="E23" s="1197">
        <f t="shared" si="0"/>
        <v>82.4</v>
      </c>
      <c r="F23" s="1198">
        <v>484</v>
      </c>
      <c r="G23" s="1196">
        <v>282688</v>
      </c>
      <c r="H23" s="1197">
        <f t="shared" si="1"/>
        <v>13.18</v>
      </c>
      <c r="I23" s="1195">
        <v>14</v>
      </c>
      <c r="J23" s="1196">
        <v>5343</v>
      </c>
      <c r="K23" s="1197">
        <f t="shared" si="2"/>
        <v>0.2</v>
      </c>
      <c r="L23" s="1199">
        <f t="shared" si="3"/>
        <v>568</v>
      </c>
      <c r="M23" s="1196">
        <f t="shared" si="3"/>
        <v>2055555</v>
      </c>
      <c r="N23" s="1200">
        <f t="shared" si="4"/>
        <v>95.8</v>
      </c>
      <c r="O23" s="119" t="s">
        <v>211</v>
      </c>
    </row>
    <row r="24" spans="1:15" ht="17.25" customHeight="1">
      <c r="A24" s="1201">
        <v>63</v>
      </c>
      <c r="B24" s="1202">
        <v>2148814</v>
      </c>
      <c r="C24" s="1203">
        <v>70</v>
      </c>
      <c r="D24" s="1204">
        <v>1779791</v>
      </c>
      <c r="E24" s="1205">
        <f t="shared" si="0"/>
        <v>82.8</v>
      </c>
      <c r="F24" s="1206">
        <v>481</v>
      </c>
      <c r="G24" s="1204">
        <v>284353</v>
      </c>
      <c r="H24" s="1205">
        <f t="shared" si="1"/>
        <v>13.23</v>
      </c>
      <c r="I24" s="1203">
        <v>14</v>
      </c>
      <c r="J24" s="1204">
        <v>4801</v>
      </c>
      <c r="K24" s="1205">
        <f t="shared" si="2"/>
        <v>0.2</v>
      </c>
      <c r="L24" s="1207">
        <f t="shared" si="3"/>
        <v>565</v>
      </c>
      <c r="M24" s="1204">
        <f t="shared" si="3"/>
        <v>2068945</v>
      </c>
      <c r="N24" s="1208">
        <f t="shared" si="4"/>
        <v>96.3</v>
      </c>
      <c r="O24" s="120" t="s">
        <v>211</v>
      </c>
    </row>
    <row r="25" spans="1:15" ht="17.25" customHeight="1">
      <c r="A25" s="1185" t="s">
        <v>216</v>
      </c>
      <c r="B25" s="1186">
        <v>2153377</v>
      </c>
      <c r="C25" s="1187">
        <v>70</v>
      </c>
      <c r="D25" s="1188">
        <v>1809482</v>
      </c>
      <c r="E25" s="1189">
        <f t="shared" si="0"/>
        <v>84</v>
      </c>
      <c r="F25" s="1190">
        <v>467</v>
      </c>
      <c r="G25" s="1188">
        <v>274557</v>
      </c>
      <c r="H25" s="1189">
        <f t="shared" si="1"/>
        <v>12.75</v>
      </c>
      <c r="I25" s="1187">
        <v>14</v>
      </c>
      <c r="J25" s="1188">
        <v>4581</v>
      </c>
      <c r="K25" s="1189">
        <f t="shared" si="2"/>
        <v>0.2</v>
      </c>
      <c r="L25" s="1191">
        <f t="shared" si="3"/>
        <v>551</v>
      </c>
      <c r="M25" s="1188">
        <f t="shared" si="3"/>
        <v>2088620</v>
      </c>
      <c r="N25" s="1192">
        <f t="shared" si="4"/>
        <v>97</v>
      </c>
      <c r="O25" s="118" t="s">
        <v>209</v>
      </c>
    </row>
    <row r="26" spans="1:15" ht="17.25" customHeight="1">
      <c r="A26" s="1193">
        <v>2</v>
      </c>
      <c r="B26" s="1194">
        <v>2153043</v>
      </c>
      <c r="C26" s="1195">
        <v>70</v>
      </c>
      <c r="D26" s="1196">
        <v>1820828</v>
      </c>
      <c r="E26" s="1197">
        <f t="shared" si="0"/>
        <v>84.6</v>
      </c>
      <c r="F26" s="1198">
        <v>458</v>
      </c>
      <c r="G26" s="1196">
        <v>269401</v>
      </c>
      <c r="H26" s="1197">
        <f t="shared" si="1"/>
        <v>12.51</v>
      </c>
      <c r="I26" s="1195">
        <v>16</v>
      </c>
      <c r="J26" s="1196">
        <v>4485</v>
      </c>
      <c r="K26" s="1197">
        <f t="shared" si="2"/>
        <v>0.2</v>
      </c>
      <c r="L26" s="1199">
        <f t="shared" si="3"/>
        <v>544</v>
      </c>
      <c r="M26" s="1196">
        <f t="shared" si="3"/>
        <v>2094714</v>
      </c>
      <c r="N26" s="1200">
        <f t="shared" si="4"/>
        <v>97.3</v>
      </c>
      <c r="O26" s="119" t="s">
        <v>209</v>
      </c>
    </row>
    <row r="27" spans="1:15" ht="17.25" customHeight="1">
      <c r="A27" s="1193">
        <v>3</v>
      </c>
      <c r="B27" s="1194">
        <v>2162328</v>
      </c>
      <c r="C27" s="1195">
        <v>70</v>
      </c>
      <c r="D27" s="1196">
        <v>1833033</v>
      </c>
      <c r="E27" s="1197">
        <f t="shared" si="0"/>
        <v>84.8</v>
      </c>
      <c r="F27" s="1198">
        <v>457</v>
      </c>
      <c r="G27" s="1196">
        <v>267833</v>
      </c>
      <c r="H27" s="1197">
        <f t="shared" si="1"/>
        <v>12.39</v>
      </c>
      <c r="I27" s="1195">
        <v>14</v>
      </c>
      <c r="J27" s="1196">
        <v>3996</v>
      </c>
      <c r="K27" s="1197">
        <f t="shared" si="2"/>
        <v>0.2</v>
      </c>
      <c r="L27" s="1199">
        <f t="shared" si="3"/>
        <v>541</v>
      </c>
      <c r="M27" s="1196">
        <f t="shared" si="3"/>
        <v>2104862</v>
      </c>
      <c r="N27" s="1200">
        <f t="shared" si="4"/>
        <v>97.3</v>
      </c>
      <c r="O27" s="119" t="s">
        <v>209</v>
      </c>
    </row>
    <row r="28" spans="1:15" ht="17.25" customHeight="1">
      <c r="A28" s="1193">
        <v>4</v>
      </c>
      <c r="B28" s="1194">
        <v>2168580</v>
      </c>
      <c r="C28" s="1195">
        <v>69</v>
      </c>
      <c r="D28" s="1196">
        <v>1840749</v>
      </c>
      <c r="E28" s="1197">
        <f t="shared" si="0"/>
        <v>84.9</v>
      </c>
      <c r="F28" s="1198">
        <v>458</v>
      </c>
      <c r="G28" s="1196">
        <v>268389</v>
      </c>
      <c r="H28" s="1197">
        <f t="shared" si="1"/>
        <v>12.38</v>
      </c>
      <c r="I28" s="1195">
        <v>14</v>
      </c>
      <c r="J28" s="1196">
        <v>4481</v>
      </c>
      <c r="K28" s="1197">
        <f t="shared" si="2"/>
        <v>0.2</v>
      </c>
      <c r="L28" s="1199">
        <f t="shared" si="3"/>
        <v>541</v>
      </c>
      <c r="M28" s="1196">
        <f t="shared" si="3"/>
        <v>2113619</v>
      </c>
      <c r="N28" s="1200">
        <f t="shared" si="4"/>
        <v>97.5</v>
      </c>
      <c r="O28" s="119">
        <v>13</v>
      </c>
    </row>
    <row r="29" spans="1:15" ht="17.25" customHeight="1">
      <c r="A29" s="1201">
        <v>5</v>
      </c>
      <c r="B29" s="1202">
        <v>2175653</v>
      </c>
      <c r="C29" s="1203">
        <v>69</v>
      </c>
      <c r="D29" s="1204">
        <v>1851849</v>
      </c>
      <c r="E29" s="1205">
        <f t="shared" si="0"/>
        <v>85.1</v>
      </c>
      <c r="F29" s="1206">
        <v>451</v>
      </c>
      <c r="G29" s="1204">
        <v>270165</v>
      </c>
      <c r="H29" s="1205">
        <f t="shared" si="1"/>
        <v>12.42</v>
      </c>
      <c r="I29" s="1203">
        <v>10</v>
      </c>
      <c r="J29" s="1204">
        <v>4186</v>
      </c>
      <c r="K29" s="1205">
        <f t="shared" si="2"/>
        <v>0.2</v>
      </c>
      <c r="L29" s="1207">
        <f t="shared" si="3"/>
        <v>530</v>
      </c>
      <c r="M29" s="1204">
        <f t="shared" si="3"/>
        <v>2126200</v>
      </c>
      <c r="N29" s="1208">
        <f t="shared" si="4"/>
        <v>97.7</v>
      </c>
      <c r="O29" s="120">
        <v>12</v>
      </c>
    </row>
    <row r="30" spans="1:15" ht="17.25" customHeight="1">
      <c r="A30" s="1185">
        <v>6</v>
      </c>
      <c r="B30" s="1186">
        <v>2187285</v>
      </c>
      <c r="C30" s="1187">
        <v>69</v>
      </c>
      <c r="D30" s="1188">
        <v>1871511</v>
      </c>
      <c r="E30" s="1189">
        <f t="shared" si="0"/>
        <v>85.6</v>
      </c>
      <c r="F30" s="1190">
        <v>442</v>
      </c>
      <c r="G30" s="1188">
        <v>268316</v>
      </c>
      <c r="H30" s="1189">
        <f t="shared" si="1"/>
        <v>12.27</v>
      </c>
      <c r="I30" s="1187">
        <v>10</v>
      </c>
      <c r="J30" s="1188">
        <v>3642</v>
      </c>
      <c r="K30" s="1189">
        <f t="shared" si="2"/>
        <v>0.2</v>
      </c>
      <c r="L30" s="1191">
        <f t="shared" si="3"/>
        <v>521</v>
      </c>
      <c r="M30" s="1188">
        <f t="shared" si="3"/>
        <v>2143469</v>
      </c>
      <c r="N30" s="1209">
        <f t="shared" si="4"/>
        <v>98</v>
      </c>
      <c r="O30" s="118">
        <v>12</v>
      </c>
    </row>
    <row r="31" spans="1:15" ht="17.25" customHeight="1">
      <c r="A31" s="1193">
        <v>7</v>
      </c>
      <c r="B31" s="1194">
        <v>2189866</v>
      </c>
      <c r="C31" s="1195">
        <v>69</v>
      </c>
      <c r="D31" s="1196">
        <v>1878667</v>
      </c>
      <c r="E31" s="1197">
        <f t="shared" si="0"/>
        <v>85.8</v>
      </c>
      <c r="F31" s="1198">
        <v>435</v>
      </c>
      <c r="G31" s="1196">
        <v>266808</v>
      </c>
      <c r="H31" s="1197">
        <f t="shared" si="1"/>
        <v>12.18</v>
      </c>
      <c r="I31" s="1195">
        <v>11</v>
      </c>
      <c r="J31" s="1196">
        <v>3622</v>
      </c>
      <c r="K31" s="1197">
        <f t="shared" si="2"/>
        <v>0.2</v>
      </c>
      <c r="L31" s="1199">
        <f t="shared" si="3"/>
        <v>515</v>
      </c>
      <c r="M31" s="1196">
        <f t="shared" si="3"/>
        <v>2149097</v>
      </c>
      <c r="N31" s="1200">
        <f t="shared" si="4"/>
        <v>98.1</v>
      </c>
      <c r="O31" s="119">
        <v>12</v>
      </c>
    </row>
    <row r="32" spans="1:15" ht="17.25" customHeight="1">
      <c r="A32" s="1193">
        <v>8</v>
      </c>
      <c r="B32" s="1194">
        <v>2196982</v>
      </c>
      <c r="C32" s="1195">
        <v>69</v>
      </c>
      <c r="D32" s="1196">
        <v>1885857</v>
      </c>
      <c r="E32" s="1197">
        <f t="shared" si="0"/>
        <v>85.8</v>
      </c>
      <c r="F32" s="1198">
        <v>433</v>
      </c>
      <c r="G32" s="1196">
        <v>271069</v>
      </c>
      <c r="H32" s="1197">
        <f>ROUND(G32/B32*100,2)+0.1</f>
        <v>12.44</v>
      </c>
      <c r="I32" s="1195">
        <v>9</v>
      </c>
      <c r="J32" s="1196">
        <v>3065</v>
      </c>
      <c r="K32" s="1197">
        <f t="shared" si="2"/>
        <v>0.1</v>
      </c>
      <c r="L32" s="1199">
        <f t="shared" si="3"/>
        <v>511</v>
      </c>
      <c r="M32" s="1196">
        <f t="shared" si="3"/>
        <v>2159991</v>
      </c>
      <c r="N32" s="1200">
        <f t="shared" si="4"/>
        <v>98.3</v>
      </c>
      <c r="O32" s="119">
        <v>12</v>
      </c>
    </row>
    <row r="33" spans="1:15" ht="17.25" customHeight="1">
      <c r="A33" s="1193">
        <v>9</v>
      </c>
      <c r="B33" s="1194">
        <v>2205758</v>
      </c>
      <c r="C33" s="1195">
        <v>69</v>
      </c>
      <c r="D33" s="1196">
        <v>1904630</v>
      </c>
      <c r="E33" s="1197">
        <f t="shared" si="0"/>
        <v>86.3</v>
      </c>
      <c r="F33" s="1198">
        <v>419</v>
      </c>
      <c r="G33" s="1196">
        <v>261131</v>
      </c>
      <c r="H33" s="1197">
        <f>ROUND(G33/B33*100,2)</f>
        <v>11.84</v>
      </c>
      <c r="I33" s="1195">
        <v>14</v>
      </c>
      <c r="J33" s="1196">
        <v>3310</v>
      </c>
      <c r="K33" s="1197">
        <f t="shared" si="2"/>
        <v>0.2</v>
      </c>
      <c r="L33" s="1199">
        <f t="shared" ref="L33:M44" si="5">C33+F33+I33</f>
        <v>502</v>
      </c>
      <c r="M33" s="1196">
        <f t="shared" si="5"/>
        <v>2169071</v>
      </c>
      <c r="N33" s="1200">
        <f t="shared" si="4"/>
        <v>98.3</v>
      </c>
      <c r="O33" s="119">
        <v>12</v>
      </c>
    </row>
    <row r="34" spans="1:15" ht="17.25" customHeight="1">
      <c r="A34" s="1201">
        <v>10</v>
      </c>
      <c r="B34" s="1202">
        <v>2209437</v>
      </c>
      <c r="C34" s="1203">
        <v>69</v>
      </c>
      <c r="D34" s="1204">
        <v>1910221</v>
      </c>
      <c r="E34" s="1205">
        <f t="shared" si="0"/>
        <v>86.5</v>
      </c>
      <c r="F34" s="1206">
        <v>408</v>
      </c>
      <c r="G34" s="1204">
        <v>261191</v>
      </c>
      <c r="H34" s="1205">
        <f>ROUND(G34/B34*100,2)+0.1</f>
        <v>11.92</v>
      </c>
      <c r="I34" s="1203">
        <v>13</v>
      </c>
      <c r="J34" s="1204">
        <v>3674</v>
      </c>
      <c r="K34" s="1205">
        <f t="shared" si="2"/>
        <v>0.2</v>
      </c>
      <c r="L34" s="1207">
        <f t="shared" si="5"/>
        <v>490</v>
      </c>
      <c r="M34" s="1204">
        <f t="shared" si="5"/>
        <v>2175086</v>
      </c>
      <c r="N34" s="1208">
        <f t="shared" si="4"/>
        <v>98.4</v>
      </c>
      <c r="O34" s="120">
        <v>12</v>
      </c>
    </row>
    <row r="35" spans="1:15" ht="17.25" customHeight="1">
      <c r="A35" s="1185">
        <v>11</v>
      </c>
      <c r="B35" s="1186">
        <v>2215163</v>
      </c>
      <c r="C35" s="1187">
        <v>69</v>
      </c>
      <c r="D35" s="1188">
        <v>1920146</v>
      </c>
      <c r="E35" s="1189">
        <f t="shared" si="0"/>
        <v>86.7</v>
      </c>
      <c r="F35" s="1190">
        <v>398</v>
      </c>
      <c r="G35" s="1188">
        <v>259504</v>
      </c>
      <c r="H35" s="1189">
        <f>ROUND(G35/B35*100,2)+0.1</f>
        <v>11.81</v>
      </c>
      <c r="I35" s="1187">
        <v>12</v>
      </c>
      <c r="J35" s="1188">
        <v>3160</v>
      </c>
      <c r="K35" s="1189">
        <f t="shared" si="2"/>
        <v>0.1</v>
      </c>
      <c r="L35" s="1191">
        <f t="shared" si="5"/>
        <v>479</v>
      </c>
      <c r="M35" s="1188">
        <f t="shared" si="5"/>
        <v>2182810</v>
      </c>
      <c r="N35" s="1192">
        <f t="shared" si="4"/>
        <v>98.5</v>
      </c>
      <c r="O35" s="118">
        <v>12</v>
      </c>
    </row>
    <row r="36" spans="1:15" s="1218" customFormat="1" ht="17.25" customHeight="1">
      <c r="A36" s="1210">
        <v>12</v>
      </c>
      <c r="B36" s="1211">
        <v>2213228</v>
      </c>
      <c r="C36" s="1212">
        <v>69</v>
      </c>
      <c r="D36" s="1213">
        <v>1926521</v>
      </c>
      <c r="E36" s="1214">
        <f t="shared" si="0"/>
        <v>87</v>
      </c>
      <c r="F36" s="1215">
        <v>387</v>
      </c>
      <c r="G36" s="1213">
        <v>253609</v>
      </c>
      <c r="H36" s="1214">
        <f t="shared" ref="H36:H44" si="6">ROUND(G36/B36*100,2)</f>
        <v>11.46</v>
      </c>
      <c r="I36" s="1212">
        <v>11</v>
      </c>
      <c r="J36" s="1213">
        <v>3319</v>
      </c>
      <c r="K36" s="1214">
        <f t="shared" si="2"/>
        <v>0.1</v>
      </c>
      <c r="L36" s="1216">
        <f t="shared" si="5"/>
        <v>467</v>
      </c>
      <c r="M36" s="1213">
        <f t="shared" si="5"/>
        <v>2183449</v>
      </c>
      <c r="N36" s="1217">
        <f t="shared" si="4"/>
        <v>98.7</v>
      </c>
      <c r="O36" s="121">
        <v>12</v>
      </c>
    </row>
    <row r="37" spans="1:15" s="1218" customFormat="1" ht="17.25" customHeight="1">
      <c r="A37" s="1210">
        <v>13</v>
      </c>
      <c r="B37" s="1211">
        <v>2209336</v>
      </c>
      <c r="C37" s="1212">
        <v>69</v>
      </c>
      <c r="D37" s="1213">
        <v>1929889</v>
      </c>
      <c r="E37" s="1214">
        <f t="shared" si="0"/>
        <v>87.4</v>
      </c>
      <c r="F37" s="1215">
        <v>379</v>
      </c>
      <c r="G37" s="1213">
        <v>247963</v>
      </c>
      <c r="H37" s="1214">
        <f t="shared" si="6"/>
        <v>11.22</v>
      </c>
      <c r="I37" s="1212">
        <v>12</v>
      </c>
      <c r="J37" s="1213">
        <v>3785</v>
      </c>
      <c r="K37" s="1214">
        <f t="shared" si="2"/>
        <v>0.2</v>
      </c>
      <c r="L37" s="1216">
        <f t="shared" si="5"/>
        <v>460</v>
      </c>
      <c r="M37" s="1213">
        <f t="shared" si="5"/>
        <v>2181637</v>
      </c>
      <c r="N37" s="1217">
        <f t="shared" si="4"/>
        <v>98.7</v>
      </c>
      <c r="O37" s="121">
        <v>12</v>
      </c>
    </row>
    <row r="38" spans="1:15" s="1218" customFormat="1" ht="17.25" customHeight="1">
      <c r="A38" s="1210">
        <v>14</v>
      </c>
      <c r="B38" s="1211">
        <v>2210178</v>
      </c>
      <c r="C38" s="1212">
        <v>69</v>
      </c>
      <c r="D38" s="1213">
        <v>1932724</v>
      </c>
      <c r="E38" s="1214">
        <f t="shared" si="0"/>
        <v>87.4</v>
      </c>
      <c r="F38" s="1215">
        <v>369</v>
      </c>
      <c r="G38" s="1213">
        <v>244373</v>
      </c>
      <c r="H38" s="1214">
        <f t="shared" si="6"/>
        <v>11.06</v>
      </c>
      <c r="I38" s="1212">
        <v>29</v>
      </c>
      <c r="J38" s="1213">
        <v>5173</v>
      </c>
      <c r="K38" s="1214">
        <f t="shared" si="2"/>
        <v>0.2</v>
      </c>
      <c r="L38" s="1216">
        <f t="shared" si="5"/>
        <v>467</v>
      </c>
      <c r="M38" s="1213">
        <f t="shared" si="5"/>
        <v>2182270</v>
      </c>
      <c r="N38" s="1217">
        <f t="shared" si="4"/>
        <v>98.7</v>
      </c>
      <c r="O38" s="121">
        <v>12</v>
      </c>
    </row>
    <row r="39" spans="1:15" s="1218" customFormat="1" ht="17.25" customHeight="1">
      <c r="A39" s="1219">
        <v>15</v>
      </c>
      <c r="B39" s="1220">
        <v>2210256</v>
      </c>
      <c r="C39" s="1221">
        <v>69</v>
      </c>
      <c r="D39" s="1222">
        <v>1938282</v>
      </c>
      <c r="E39" s="1223">
        <f t="shared" si="0"/>
        <v>87.7</v>
      </c>
      <c r="F39" s="1224">
        <v>362</v>
      </c>
      <c r="G39" s="1222">
        <v>241514</v>
      </c>
      <c r="H39" s="1223">
        <f t="shared" si="6"/>
        <v>10.93</v>
      </c>
      <c r="I39" s="1221">
        <v>37</v>
      </c>
      <c r="J39" s="1222">
        <v>5417</v>
      </c>
      <c r="K39" s="1223">
        <f t="shared" si="2"/>
        <v>0.2</v>
      </c>
      <c r="L39" s="1225">
        <f t="shared" si="5"/>
        <v>468</v>
      </c>
      <c r="M39" s="1222">
        <f t="shared" si="5"/>
        <v>2185213</v>
      </c>
      <c r="N39" s="1226">
        <f t="shared" si="4"/>
        <v>98.9</v>
      </c>
      <c r="O39" s="122">
        <v>12</v>
      </c>
    </row>
    <row r="40" spans="1:15" s="1218" customFormat="1" ht="17.25" customHeight="1">
      <c r="A40" s="1227">
        <v>16</v>
      </c>
      <c r="B40" s="1228">
        <v>2203835</v>
      </c>
      <c r="C40" s="1229">
        <v>68</v>
      </c>
      <c r="D40" s="1230">
        <v>1952657</v>
      </c>
      <c r="E40" s="1231">
        <f t="shared" si="0"/>
        <v>88.6</v>
      </c>
      <c r="F40" s="1232">
        <v>346</v>
      </c>
      <c r="G40" s="1230">
        <v>221645</v>
      </c>
      <c r="H40" s="1231">
        <f t="shared" si="6"/>
        <v>10.06</v>
      </c>
      <c r="I40" s="1229">
        <v>41</v>
      </c>
      <c r="J40" s="1230">
        <v>4944</v>
      </c>
      <c r="K40" s="1231">
        <f t="shared" si="2"/>
        <v>0.2</v>
      </c>
      <c r="L40" s="1233">
        <f t="shared" si="5"/>
        <v>455</v>
      </c>
      <c r="M40" s="1230">
        <f t="shared" si="5"/>
        <v>2179246</v>
      </c>
      <c r="N40" s="1234">
        <f t="shared" si="4"/>
        <v>98.9</v>
      </c>
      <c r="O40" s="123">
        <v>12</v>
      </c>
    </row>
    <row r="41" spans="1:15" s="1218" customFormat="1" ht="17.25" customHeight="1">
      <c r="A41" s="1235">
        <v>17</v>
      </c>
      <c r="B41" s="1211">
        <v>2186449</v>
      </c>
      <c r="C41" s="1212">
        <v>67</v>
      </c>
      <c r="D41" s="1213">
        <v>1938148</v>
      </c>
      <c r="E41" s="1214">
        <f t="shared" si="0"/>
        <v>88.6</v>
      </c>
      <c r="F41" s="1215">
        <v>339</v>
      </c>
      <c r="G41" s="1213">
        <v>218666</v>
      </c>
      <c r="H41" s="1214">
        <f>ROUND(G41/B41*100,2)</f>
        <v>10</v>
      </c>
      <c r="I41" s="1212">
        <v>44</v>
      </c>
      <c r="J41" s="1213">
        <v>4929</v>
      </c>
      <c r="K41" s="1214">
        <f t="shared" si="2"/>
        <v>0.2</v>
      </c>
      <c r="L41" s="1216">
        <f t="shared" si="5"/>
        <v>450</v>
      </c>
      <c r="M41" s="1213">
        <f t="shared" si="5"/>
        <v>2161743</v>
      </c>
      <c r="N41" s="1217">
        <f t="shared" si="4"/>
        <v>98.9</v>
      </c>
      <c r="O41" s="121">
        <v>13</v>
      </c>
    </row>
    <row r="42" spans="1:15" s="1218" customFormat="1" ht="17.25" customHeight="1">
      <c r="A42" s="1210">
        <v>18</v>
      </c>
      <c r="B42" s="1211">
        <v>2179665</v>
      </c>
      <c r="C42" s="1212">
        <v>67</v>
      </c>
      <c r="D42" s="1213">
        <v>1935706</v>
      </c>
      <c r="E42" s="1214">
        <f t="shared" si="0"/>
        <v>88.8</v>
      </c>
      <c r="F42" s="1215">
        <v>335</v>
      </c>
      <c r="G42" s="1213">
        <v>215332</v>
      </c>
      <c r="H42" s="1214">
        <f>ROUND(G42/B42*100,2)</f>
        <v>9.8800000000000008</v>
      </c>
      <c r="I42" s="1212">
        <v>53</v>
      </c>
      <c r="J42" s="1213">
        <v>4948</v>
      </c>
      <c r="K42" s="1214">
        <f t="shared" si="2"/>
        <v>0.2</v>
      </c>
      <c r="L42" s="1216">
        <f>C42+F42+I42</f>
        <v>455</v>
      </c>
      <c r="M42" s="1213">
        <f>D42+G42+J42</f>
        <v>2155986</v>
      </c>
      <c r="N42" s="1217">
        <f t="shared" si="4"/>
        <v>98.9</v>
      </c>
      <c r="O42" s="121">
        <v>13</v>
      </c>
    </row>
    <row r="43" spans="1:15" s="1218" customFormat="1" ht="17.25" customHeight="1">
      <c r="A43" s="1210">
        <v>19</v>
      </c>
      <c r="B43" s="1211">
        <v>2172282</v>
      </c>
      <c r="C43" s="1212">
        <v>66</v>
      </c>
      <c r="D43" s="1213">
        <v>1929696</v>
      </c>
      <c r="E43" s="1214">
        <f t="shared" si="0"/>
        <v>88.8</v>
      </c>
      <c r="F43" s="1215">
        <v>317</v>
      </c>
      <c r="G43" s="1213">
        <v>212960</v>
      </c>
      <c r="H43" s="1214">
        <f>ROUND(G43/B43*100,2)</f>
        <v>9.8000000000000007</v>
      </c>
      <c r="I43" s="1212">
        <v>53</v>
      </c>
      <c r="J43" s="1213">
        <v>4415</v>
      </c>
      <c r="K43" s="1214">
        <f t="shared" si="2"/>
        <v>0.2</v>
      </c>
      <c r="L43" s="1216">
        <f>C43+F43+I43</f>
        <v>436</v>
      </c>
      <c r="M43" s="1213">
        <f>D43+G43+J43</f>
        <v>2147071</v>
      </c>
      <c r="N43" s="1217">
        <f t="shared" si="4"/>
        <v>98.8</v>
      </c>
      <c r="O43" s="121">
        <v>15</v>
      </c>
    </row>
    <row r="44" spans="1:15" s="1218" customFormat="1" ht="17.25" customHeight="1">
      <c r="A44" s="1236">
        <v>20</v>
      </c>
      <c r="B44" s="1237">
        <v>2162260</v>
      </c>
      <c r="C44" s="1238">
        <v>66</v>
      </c>
      <c r="D44" s="1239">
        <v>1923064</v>
      </c>
      <c r="E44" s="1240">
        <f t="shared" si="0"/>
        <v>88.9</v>
      </c>
      <c r="F44" s="1241">
        <v>310</v>
      </c>
      <c r="G44" s="1239">
        <v>208875</v>
      </c>
      <c r="H44" s="1240">
        <f t="shared" si="6"/>
        <v>9.66</v>
      </c>
      <c r="I44" s="1238">
        <v>56</v>
      </c>
      <c r="J44" s="1239">
        <v>4457</v>
      </c>
      <c r="K44" s="1240">
        <f t="shared" si="2"/>
        <v>0.2</v>
      </c>
      <c r="L44" s="1242">
        <f t="shared" si="5"/>
        <v>432</v>
      </c>
      <c r="M44" s="1239">
        <f t="shared" si="5"/>
        <v>2136396</v>
      </c>
      <c r="N44" s="1243">
        <f t="shared" si="4"/>
        <v>98.8</v>
      </c>
      <c r="O44" s="124">
        <v>17</v>
      </c>
    </row>
    <row r="45" spans="1:15" s="1218" customFormat="1" ht="17.25" customHeight="1">
      <c r="A45" s="1244">
        <v>21</v>
      </c>
      <c r="B45" s="1245">
        <v>2150758</v>
      </c>
      <c r="C45" s="1246">
        <v>66</v>
      </c>
      <c r="D45" s="1247">
        <v>1914770</v>
      </c>
      <c r="E45" s="1248">
        <f>ROUND(D45/B45*100,1)</f>
        <v>89</v>
      </c>
      <c r="F45" s="1249">
        <v>291</v>
      </c>
      <c r="G45" s="1247">
        <v>205585</v>
      </c>
      <c r="H45" s="1248">
        <f>ROUND(G45/B45*100,2)</f>
        <v>9.56</v>
      </c>
      <c r="I45" s="1246">
        <v>57</v>
      </c>
      <c r="J45" s="1247">
        <v>2451</v>
      </c>
      <c r="K45" s="1248">
        <f>ROUND(J45/B45*100,1)</f>
        <v>0.1</v>
      </c>
      <c r="L45" s="1250">
        <f>C45+F45+I45</f>
        <v>414</v>
      </c>
      <c r="M45" s="1247">
        <f>D45+G45+J45</f>
        <v>2122806</v>
      </c>
      <c r="N45" s="1251">
        <f>ROUND(M45/B45*100,1)</f>
        <v>98.7</v>
      </c>
      <c r="O45" s="125">
        <v>17</v>
      </c>
    </row>
    <row r="46" spans="1:15" s="1218" customFormat="1" ht="17.25" customHeight="1">
      <c r="A46" s="1252">
        <v>22</v>
      </c>
      <c r="B46" s="1253">
        <v>2142797</v>
      </c>
      <c r="C46" s="1254">
        <v>66</v>
      </c>
      <c r="D46" s="1255">
        <v>1913094</v>
      </c>
      <c r="E46" s="1256">
        <f>ROUND(D46/B46*100,1)</f>
        <v>89.3</v>
      </c>
      <c r="F46" s="1257">
        <v>288</v>
      </c>
      <c r="G46" s="1255">
        <v>201904</v>
      </c>
      <c r="H46" s="1256">
        <f>ROUND(G46/B46*100,2)</f>
        <v>9.42</v>
      </c>
      <c r="I46" s="1258">
        <v>57</v>
      </c>
      <c r="J46" s="1255">
        <v>2588</v>
      </c>
      <c r="K46" s="1256">
        <f>ROUND(J46/B46*100,1)</f>
        <v>0.1</v>
      </c>
      <c r="L46" s="1259">
        <f>C46+F46+I46</f>
        <v>411</v>
      </c>
      <c r="M46" s="1255">
        <f>D46+G46+J46</f>
        <v>2117586</v>
      </c>
      <c r="N46" s="1260">
        <f>ROUND(M46/B46*100,1)</f>
        <v>98.8</v>
      </c>
      <c r="O46" s="126">
        <v>17</v>
      </c>
    </row>
    <row r="47" spans="1:15" s="1218" customFormat="1" ht="17.25" customHeight="1">
      <c r="A47" s="1261">
        <v>23</v>
      </c>
      <c r="B47" s="1262">
        <v>2133183</v>
      </c>
      <c r="C47" s="1263">
        <v>66</v>
      </c>
      <c r="D47" s="1264">
        <v>1912534</v>
      </c>
      <c r="E47" s="1265">
        <v>89.7</v>
      </c>
      <c r="F47" s="1266">
        <v>270</v>
      </c>
      <c r="G47" s="1264">
        <v>193690</v>
      </c>
      <c r="H47" s="1265">
        <v>9.08</v>
      </c>
      <c r="I47" s="1263">
        <v>60</v>
      </c>
      <c r="J47" s="1264">
        <v>2858</v>
      </c>
      <c r="K47" s="1265">
        <v>0.1</v>
      </c>
      <c r="L47" s="1267">
        <f>C47+F47+I47</f>
        <v>396</v>
      </c>
      <c r="M47" s="1264">
        <v>2109082</v>
      </c>
      <c r="N47" s="1268">
        <v>98.9</v>
      </c>
      <c r="O47" s="127">
        <v>16</v>
      </c>
    </row>
    <row r="48" spans="1:15" s="1218" customFormat="1" ht="17.25" customHeight="1">
      <c r="A48" s="1261">
        <v>24</v>
      </c>
      <c r="B48" s="1262">
        <v>2119212</v>
      </c>
      <c r="C48" s="1263">
        <v>64</v>
      </c>
      <c r="D48" s="1264">
        <v>1903637</v>
      </c>
      <c r="E48" s="1265">
        <v>89.8</v>
      </c>
      <c r="F48" s="1266">
        <v>267</v>
      </c>
      <c r="G48" s="1264">
        <v>189905</v>
      </c>
      <c r="H48" s="1265">
        <v>8.9600000000000009</v>
      </c>
      <c r="I48" s="1263">
        <v>60</v>
      </c>
      <c r="J48" s="1269">
        <v>2151</v>
      </c>
      <c r="K48" s="1270">
        <v>0.1</v>
      </c>
      <c r="L48" s="1267">
        <f>C48+F48+I48</f>
        <v>391</v>
      </c>
      <c r="M48" s="1264">
        <v>2095693</v>
      </c>
      <c r="N48" s="1268">
        <v>98.9</v>
      </c>
      <c r="O48" s="127">
        <v>17</v>
      </c>
    </row>
    <row r="49" spans="1:15" s="1218" customFormat="1" ht="17.25" customHeight="1">
      <c r="A49" s="1271">
        <v>25</v>
      </c>
      <c r="B49" s="1272">
        <v>2107892</v>
      </c>
      <c r="C49" s="1273">
        <v>64</v>
      </c>
      <c r="D49" s="1274">
        <v>1899915</v>
      </c>
      <c r="E49" s="1275">
        <f>ROUND(D49/B49*100,1)</f>
        <v>90.1</v>
      </c>
      <c r="F49" s="1276">
        <v>254</v>
      </c>
      <c r="G49" s="1274">
        <v>182568</v>
      </c>
      <c r="H49" s="1275">
        <f>ROUND(G49/B49*100,2)</f>
        <v>8.66</v>
      </c>
      <c r="I49" s="1273">
        <v>59</v>
      </c>
      <c r="J49" s="1277">
        <v>1659</v>
      </c>
      <c r="K49" s="1278">
        <f>ROUND(J49/B49*100,1)</f>
        <v>0.1</v>
      </c>
      <c r="L49" s="1279">
        <f>C49+F49+I49</f>
        <v>377</v>
      </c>
      <c r="M49" s="1274">
        <f>D49+G49+J49</f>
        <v>2084142</v>
      </c>
      <c r="N49" s="1280">
        <f>ROUND(M49/B49*100,1)</f>
        <v>98.9</v>
      </c>
      <c r="O49" s="128">
        <v>17</v>
      </c>
    </row>
    <row r="50" spans="1:15" s="1218" customFormat="1" ht="17.25" customHeight="1">
      <c r="A50" s="1281">
        <v>26</v>
      </c>
      <c r="B50" s="1282">
        <v>2096051</v>
      </c>
      <c r="C50" s="1283">
        <v>65</v>
      </c>
      <c r="D50" s="1284">
        <v>1909023</v>
      </c>
      <c r="E50" s="1285">
        <v>91.1</v>
      </c>
      <c r="F50" s="1286">
        <v>241</v>
      </c>
      <c r="G50" s="1284">
        <v>161588</v>
      </c>
      <c r="H50" s="1285">
        <v>7.71</v>
      </c>
      <c r="I50" s="1283">
        <v>63</v>
      </c>
      <c r="J50" s="1287">
        <v>1809</v>
      </c>
      <c r="K50" s="1288">
        <v>0.1</v>
      </c>
      <c r="L50" s="1289">
        <v>369</v>
      </c>
      <c r="M50" s="1284">
        <v>2072420</v>
      </c>
      <c r="N50" s="1290">
        <v>98.9</v>
      </c>
      <c r="O50" s="129">
        <v>19</v>
      </c>
    </row>
    <row r="51" spans="1:15" s="1218" customFormat="1" ht="17.25" customHeight="1">
      <c r="A51" s="1291">
        <v>27</v>
      </c>
      <c r="B51" s="1292">
        <v>2086023</v>
      </c>
      <c r="C51" s="1293">
        <v>65</v>
      </c>
      <c r="D51" s="1294">
        <v>1905647</v>
      </c>
      <c r="E51" s="1295">
        <f>ROUND(D51/B51*100,1)</f>
        <v>91.4</v>
      </c>
      <c r="F51" s="1296">
        <v>222</v>
      </c>
      <c r="G51" s="1294">
        <v>154035</v>
      </c>
      <c r="H51" s="1295">
        <f>ROUND(G51/B51*100,2)</f>
        <v>7.38</v>
      </c>
      <c r="I51" s="1293">
        <v>63</v>
      </c>
      <c r="J51" s="1297">
        <v>2081</v>
      </c>
      <c r="K51" s="1298">
        <f>ROUND(J51/B51*100,1)</f>
        <v>0.1</v>
      </c>
      <c r="L51" s="1299">
        <f t="shared" ref="L51:M54" si="7">C51+F51+I51</f>
        <v>350</v>
      </c>
      <c r="M51" s="1294">
        <f t="shared" si="7"/>
        <v>2061763</v>
      </c>
      <c r="N51" s="1300">
        <f>ROUND(M51/B51*100,1)</f>
        <v>98.8</v>
      </c>
      <c r="O51" s="130">
        <v>18</v>
      </c>
    </row>
    <row r="52" spans="1:15" s="1218" customFormat="1" ht="17.25" customHeight="1">
      <c r="A52" s="1291">
        <v>28</v>
      </c>
      <c r="B52" s="1292">
        <v>2076122</v>
      </c>
      <c r="C52" s="1293">
        <v>62</v>
      </c>
      <c r="D52" s="1294">
        <v>1900262</v>
      </c>
      <c r="E52" s="1295">
        <f>ROUND(D52/B52*100,1)</f>
        <v>91.5</v>
      </c>
      <c r="F52" s="1296">
        <v>216</v>
      </c>
      <c r="G52" s="1294">
        <v>151031</v>
      </c>
      <c r="H52" s="1295">
        <f>ROUND(G52/B52*100,2)</f>
        <v>7.27</v>
      </c>
      <c r="I52" s="1293">
        <v>64</v>
      </c>
      <c r="J52" s="1297">
        <v>1864</v>
      </c>
      <c r="K52" s="1298">
        <f>ROUND(J52/B52*100,1)</f>
        <v>0.1</v>
      </c>
      <c r="L52" s="1299">
        <f t="shared" si="7"/>
        <v>342</v>
      </c>
      <c r="M52" s="1294">
        <f t="shared" si="7"/>
        <v>2053157</v>
      </c>
      <c r="N52" s="1300">
        <f>ROUND(M52/B52*100,1)</f>
        <v>98.9</v>
      </c>
      <c r="O52" s="130">
        <v>21</v>
      </c>
    </row>
    <row r="53" spans="1:15" s="1218" customFormat="1" ht="17.25" customHeight="1">
      <c r="A53" s="1291">
        <v>29</v>
      </c>
      <c r="B53" s="1292">
        <v>2063495</v>
      </c>
      <c r="C53" s="1293">
        <v>61</v>
      </c>
      <c r="D53" s="1294">
        <v>1949003</v>
      </c>
      <c r="E53" s="1295">
        <v>94.5</v>
      </c>
      <c r="F53" s="1296">
        <v>131</v>
      </c>
      <c r="G53" s="1294">
        <v>87069</v>
      </c>
      <c r="H53" s="1295">
        <v>4.22</v>
      </c>
      <c r="I53" s="1293">
        <v>66</v>
      </c>
      <c r="J53" s="1297">
        <v>1882</v>
      </c>
      <c r="K53" s="1298">
        <v>0.1</v>
      </c>
      <c r="L53" s="1299">
        <v>258</v>
      </c>
      <c r="M53" s="1294">
        <v>2037954</v>
      </c>
      <c r="N53" s="1300">
        <v>98.8</v>
      </c>
      <c r="O53" s="130">
        <v>20</v>
      </c>
    </row>
    <row r="54" spans="1:15" s="1218" customFormat="1" ht="17.25" customHeight="1">
      <c r="A54" s="1271">
        <v>30</v>
      </c>
      <c r="B54" s="1272">
        <v>2050242</v>
      </c>
      <c r="C54" s="1273">
        <v>61</v>
      </c>
      <c r="D54" s="1274">
        <v>1940820</v>
      </c>
      <c r="E54" s="1275">
        <f>ROUND(D54/B54*100,1)</f>
        <v>94.7</v>
      </c>
      <c r="F54" s="1276">
        <v>126</v>
      </c>
      <c r="G54" s="1274">
        <v>85246</v>
      </c>
      <c r="H54" s="1275">
        <f>ROUND(G54/B54*100,2)</f>
        <v>4.16</v>
      </c>
      <c r="I54" s="1273">
        <v>68</v>
      </c>
      <c r="J54" s="1277">
        <v>1881</v>
      </c>
      <c r="K54" s="1278">
        <f>ROUND(J54/B54*100,1)</f>
        <v>0.1</v>
      </c>
      <c r="L54" s="1279">
        <f t="shared" si="7"/>
        <v>255</v>
      </c>
      <c r="M54" s="1274">
        <f t="shared" si="7"/>
        <v>2027947</v>
      </c>
      <c r="N54" s="1280">
        <f>ROUND(M54/B54*100,1)</f>
        <v>98.9</v>
      </c>
      <c r="O54" s="128">
        <v>20</v>
      </c>
    </row>
    <row r="55" spans="1:15" s="1218" customFormat="1" ht="17.25" customHeight="1">
      <c r="A55" s="1301" t="s">
        <v>215</v>
      </c>
      <c r="B55" s="1302">
        <v>2035925</v>
      </c>
      <c r="C55" s="1303">
        <v>61</v>
      </c>
      <c r="D55" s="1302">
        <v>1929418</v>
      </c>
      <c r="E55" s="1304">
        <v>94.8</v>
      </c>
      <c r="F55" s="1305">
        <v>124</v>
      </c>
      <c r="G55" s="1306">
        <v>84307</v>
      </c>
      <c r="H55" s="1304">
        <v>4.1399999999999997</v>
      </c>
      <c r="I55" s="1307">
        <v>69</v>
      </c>
      <c r="J55" s="1308">
        <v>1906</v>
      </c>
      <c r="K55" s="1304">
        <v>0.1</v>
      </c>
      <c r="L55" s="1302">
        <v>254</v>
      </c>
      <c r="M55" s="1306">
        <v>2015631</v>
      </c>
      <c r="N55" s="1309">
        <v>99</v>
      </c>
      <c r="O55" s="1310">
        <v>18</v>
      </c>
    </row>
    <row r="56" spans="1:15" s="1218" customFormat="1" ht="17.25" customHeight="1">
      <c r="A56" s="1311">
        <v>2</v>
      </c>
      <c r="B56" s="1312">
        <v>2022222</v>
      </c>
      <c r="C56" s="1313">
        <v>61</v>
      </c>
      <c r="D56" s="1314">
        <v>1918018</v>
      </c>
      <c r="E56" s="1315">
        <f>ROUND(D56/B56*100,1)</f>
        <v>94.8</v>
      </c>
      <c r="F56" s="1316">
        <v>124</v>
      </c>
      <c r="G56" s="1314">
        <v>82761</v>
      </c>
      <c r="H56" s="1315">
        <f>ROUND(G56/B56*100,2)</f>
        <v>4.09</v>
      </c>
      <c r="I56" s="1313">
        <v>69</v>
      </c>
      <c r="J56" s="1317">
        <v>1831</v>
      </c>
      <c r="K56" s="1318">
        <f>ROUND(J56/B56*100,1)</f>
        <v>0.1</v>
      </c>
      <c r="L56" s="1314">
        <f t="shared" ref="L56:M56" si="8">C56+F56+I56</f>
        <v>254</v>
      </c>
      <c r="M56" s="1317">
        <f t="shared" si="8"/>
        <v>2002610</v>
      </c>
      <c r="N56" s="1319">
        <f>ROUND(M56/B56*100,1)</f>
        <v>99</v>
      </c>
      <c r="O56" s="1320">
        <v>19</v>
      </c>
    </row>
    <row r="57" spans="1:15" ht="14.15" customHeight="1">
      <c r="A57" s="1321" t="s">
        <v>217</v>
      </c>
    </row>
    <row r="58" spans="1:15" ht="14.15" customHeight="1">
      <c r="A58" s="1321" t="s">
        <v>218</v>
      </c>
    </row>
  </sheetData>
  <mergeCells count="6">
    <mergeCell ref="A3:A4"/>
    <mergeCell ref="B3:B4"/>
    <mergeCell ref="C3:E3"/>
    <mergeCell ref="F3:H3"/>
    <mergeCell ref="I3:K3"/>
    <mergeCell ref="L3:O3"/>
  </mergeCells>
  <phoneticPr fontId="6"/>
  <printOptions horizontalCentered="1" gridLinesSet="0"/>
  <pageMargins left="0.70866141732283472" right="0.70866141732283472" top="0.39370078740157483" bottom="0.39370078740157483" header="0.31496062992125984" footer="0.31496062992125984"/>
  <pageSetup paperSize="9" scale="84"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6F92E5-337C-44FC-B068-A5CA315B6D53}">
  <dimension ref="A1:Q53"/>
  <sheetViews>
    <sheetView view="pageBreakPreview" zoomScale="50" zoomScaleNormal="40" zoomScaleSheetLayoutView="50" workbookViewId="0"/>
  </sheetViews>
  <sheetFormatPr defaultColWidth="10" defaultRowHeight="30" customHeight="1"/>
  <cols>
    <col min="1" max="1" width="20" style="1325" customWidth="1"/>
    <col min="2" max="6" width="17.6328125" style="1323" customWidth="1"/>
    <col min="7" max="7" width="8.6328125" style="1323" customWidth="1"/>
    <col min="8" max="8" width="5.6328125" style="1325" customWidth="1"/>
    <col min="9" max="10" width="10.6328125" style="1323" customWidth="1"/>
    <col min="11" max="11" width="5.6328125" style="1323" customWidth="1"/>
    <col min="12" max="12" width="10.6328125" style="1323" customWidth="1"/>
    <col min="13" max="13" width="5.6328125" style="1323" customWidth="1"/>
    <col min="14" max="14" width="10.6328125" style="1323" customWidth="1"/>
    <col min="15" max="15" width="5.6328125" style="1323" customWidth="1"/>
    <col min="16" max="16" width="10.6328125" style="1323" customWidth="1"/>
    <col min="17" max="17" width="5.6328125" style="1323" customWidth="1"/>
    <col min="18" max="16384" width="10" style="1323"/>
  </cols>
  <sheetData>
    <row r="1" spans="1:17" ht="33.75" customHeight="1">
      <c r="A1" s="1322" t="s">
        <v>219</v>
      </c>
      <c r="G1" s="1324"/>
    </row>
    <row r="2" spans="1:17" ht="30" customHeight="1">
      <c r="F2" s="1325"/>
      <c r="M2" s="1326"/>
      <c r="N2" s="1326"/>
      <c r="O2" s="1326"/>
      <c r="P2" s="1326"/>
    </row>
    <row r="3" spans="1:17" s="1325" customFormat="1" ht="60" customHeight="1">
      <c r="A3" s="1327" t="s">
        <v>220</v>
      </c>
      <c r="B3" s="1328" t="s">
        <v>221</v>
      </c>
      <c r="C3" s="1329" t="s">
        <v>222</v>
      </c>
      <c r="D3" s="1330"/>
      <c r="E3" s="1330"/>
      <c r="F3" s="1331"/>
      <c r="G3" s="1332" t="s">
        <v>223</v>
      </c>
      <c r="H3" s="1333"/>
      <c r="I3" s="1329" t="s">
        <v>224</v>
      </c>
      <c r="J3" s="1330"/>
      <c r="K3" s="1330"/>
      <c r="L3" s="1330"/>
      <c r="M3" s="1330"/>
      <c r="N3" s="1330"/>
      <c r="O3" s="1330"/>
      <c r="P3" s="1330"/>
      <c r="Q3" s="1331"/>
    </row>
    <row r="4" spans="1:17" s="1325" customFormat="1" ht="60" customHeight="1">
      <c r="A4" s="1334"/>
      <c r="B4" s="1334"/>
      <c r="C4" s="1335" t="s">
        <v>225</v>
      </c>
      <c r="D4" s="1336" t="s">
        <v>226</v>
      </c>
      <c r="E4" s="1336" t="s">
        <v>227</v>
      </c>
      <c r="F4" s="1337" t="s">
        <v>228</v>
      </c>
      <c r="G4" s="1338" t="s">
        <v>229</v>
      </c>
      <c r="H4" s="1339" t="s">
        <v>230</v>
      </c>
      <c r="I4" s="1338" t="s">
        <v>231</v>
      </c>
      <c r="J4" s="1340" t="s">
        <v>232</v>
      </c>
      <c r="K4" s="1340" t="s">
        <v>233</v>
      </c>
      <c r="L4" s="1340" t="s">
        <v>234</v>
      </c>
      <c r="M4" s="1340" t="s">
        <v>233</v>
      </c>
      <c r="N4" s="1340" t="s">
        <v>235</v>
      </c>
      <c r="O4" s="1341" t="s">
        <v>233</v>
      </c>
      <c r="P4" s="1338" t="s">
        <v>101</v>
      </c>
      <c r="Q4" s="1339" t="s">
        <v>233</v>
      </c>
    </row>
    <row r="5" spans="1:17" ht="34" customHeight="1">
      <c r="A5" s="1342" t="s">
        <v>236</v>
      </c>
      <c r="B5" s="1343">
        <v>5206059</v>
      </c>
      <c r="C5" s="1344">
        <v>4787602</v>
      </c>
      <c r="D5" s="1345">
        <v>307077</v>
      </c>
      <c r="E5" s="1346">
        <v>16570</v>
      </c>
      <c r="F5" s="1347">
        <f>SUM(C5:E5)</f>
        <v>5111249</v>
      </c>
      <c r="G5" s="1348">
        <f>F5/B5*100</f>
        <v>98.178852755990661</v>
      </c>
      <c r="H5" s="1349">
        <f>RANK(G5,$G$5:$G$51,0)</f>
        <v>23</v>
      </c>
      <c r="I5" s="1350">
        <v>5</v>
      </c>
      <c r="J5" s="1351">
        <v>89</v>
      </c>
      <c r="K5" s="1351">
        <f>RANK(J5,$J$5:$J$51,0)</f>
        <v>1</v>
      </c>
      <c r="L5" s="1351">
        <v>199</v>
      </c>
      <c r="M5" s="1351">
        <f>RANK(L5,$L$5:$L$51,0)</f>
        <v>1</v>
      </c>
      <c r="N5" s="1351">
        <v>532</v>
      </c>
      <c r="O5" s="1352">
        <f>RANK(N5,$N$5:$N$51,0)</f>
        <v>2</v>
      </c>
      <c r="P5" s="1350">
        <f>I5+J5+L5+N5</f>
        <v>825</v>
      </c>
      <c r="Q5" s="1349">
        <f>RANK(P5,$P$5:$P$51,0)</f>
        <v>2</v>
      </c>
    </row>
    <row r="6" spans="1:17" ht="34" customHeight="1">
      <c r="A6" s="1353" t="s">
        <v>237</v>
      </c>
      <c r="B6" s="1354">
        <v>1217638</v>
      </c>
      <c r="C6" s="1355">
        <v>1162232</v>
      </c>
      <c r="D6" s="1356">
        <v>28079</v>
      </c>
      <c r="E6" s="1357">
        <v>1509</v>
      </c>
      <c r="F6" s="1358">
        <f t="shared" ref="F6:F51" si="0">SUM(C6:E6)</f>
        <v>1191820</v>
      </c>
      <c r="G6" s="1359">
        <f t="shared" ref="G6:G52" si="1">F6/B6*100</f>
        <v>97.879665384950215</v>
      </c>
      <c r="H6" s="1360">
        <f t="shared" ref="H6:H51" si="2">RANK(G6,$G$5:$G$51,0)</f>
        <v>25</v>
      </c>
      <c r="I6" s="1361">
        <v>1</v>
      </c>
      <c r="J6" s="1362">
        <v>26</v>
      </c>
      <c r="K6" s="1362">
        <f t="shared" ref="K6:K51" si="3">RANK(J6,$J$5:$J$51,0)</f>
        <v>21</v>
      </c>
      <c r="L6" s="1362">
        <v>33</v>
      </c>
      <c r="M6" s="1362">
        <f t="shared" ref="M6:M51" si="4">RANK(L6,$L$5:$L$51,0)</f>
        <v>26</v>
      </c>
      <c r="N6" s="1362">
        <v>77</v>
      </c>
      <c r="O6" s="1363">
        <f t="shared" ref="O6:O51" si="5">RANK(N6,$N$5:$N$51,0)</f>
        <v>31</v>
      </c>
      <c r="P6" s="1361">
        <f t="shared" ref="P6:P51" si="6">I6+J6+L6+N6</f>
        <v>137</v>
      </c>
      <c r="Q6" s="1360">
        <f t="shared" ref="Q6:Q51" si="7">RANK(P6,$P$5:$P$51,0)</f>
        <v>34</v>
      </c>
    </row>
    <row r="7" spans="1:17" ht="34" customHeight="1">
      <c r="A7" s="1353" t="s">
        <v>238</v>
      </c>
      <c r="B7" s="1354">
        <v>1209469</v>
      </c>
      <c r="C7" s="1355">
        <v>1110418</v>
      </c>
      <c r="D7" s="1356">
        <v>24463</v>
      </c>
      <c r="E7" s="1357">
        <v>5350</v>
      </c>
      <c r="F7" s="1358">
        <f t="shared" si="0"/>
        <v>1140231</v>
      </c>
      <c r="G7" s="1359">
        <f t="shared" si="1"/>
        <v>94.275339012409574</v>
      </c>
      <c r="H7" s="1360">
        <f t="shared" si="2"/>
        <v>40</v>
      </c>
      <c r="I7" s="1361">
        <v>1</v>
      </c>
      <c r="J7" s="1362">
        <v>28</v>
      </c>
      <c r="K7" s="1362">
        <f t="shared" si="3"/>
        <v>20</v>
      </c>
      <c r="L7" s="1362">
        <v>29</v>
      </c>
      <c r="M7" s="1362">
        <f t="shared" si="4"/>
        <v>28</v>
      </c>
      <c r="N7" s="1362">
        <v>116</v>
      </c>
      <c r="O7" s="1363">
        <f t="shared" si="5"/>
        <v>24</v>
      </c>
      <c r="P7" s="1361">
        <f t="shared" si="6"/>
        <v>174</v>
      </c>
      <c r="Q7" s="1360">
        <f t="shared" si="7"/>
        <v>29</v>
      </c>
    </row>
    <row r="8" spans="1:17" ht="34" customHeight="1">
      <c r="A8" s="1353" t="s">
        <v>239</v>
      </c>
      <c r="B8" s="1354">
        <v>2271776</v>
      </c>
      <c r="C8" s="1355">
        <v>2248384</v>
      </c>
      <c r="D8" s="1356">
        <v>5575</v>
      </c>
      <c r="E8" s="1357">
        <v>910</v>
      </c>
      <c r="F8" s="1358">
        <f t="shared" si="0"/>
        <v>2254869</v>
      </c>
      <c r="G8" s="1359">
        <f t="shared" si="1"/>
        <v>99.255780499485866</v>
      </c>
      <c r="H8" s="1360">
        <f t="shared" si="2"/>
        <v>15</v>
      </c>
      <c r="I8" s="1361">
        <v>2</v>
      </c>
      <c r="J8" s="1362">
        <v>33</v>
      </c>
      <c r="K8" s="1362">
        <f t="shared" si="3"/>
        <v>14</v>
      </c>
      <c r="L8" s="1362">
        <v>12</v>
      </c>
      <c r="M8" s="1362">
        <f t="shared" si="4"/>
        <v>36</v>
      </c>
      <c r="N8" s="1362">
        <v>97</v>
      </c>
      <c r="O8" s="1363">
        <f t="shared" si="5"/>
        <v>27</v>
      </c>
      <c r="P8" s="1361">
        <f t="shared" si="6"/>
        <v>144</v>
      </c>
      <c r="Q8" s="1360">
        <f t="shared" si="7"/>
        <v>32</v>
      </c>
    </row>
    <row r="9" spans="1:17" ht="34" customHeight="1">
      <c r="A9" s="1353" t="s">
        <v>240</v>
      </c>
      <c r="B9" s="1354">
        <v>942190</v>
      </c>
      <c r="C9" s="1355">
        <v>795608</v>
      </c>
      <c r="D9" s="1356">
        <v>66126</v>
      </c>
      <c r="E9" s="1357">
        <v>3251</v>
      </c>
      <c r="F9" s="1358">
        <f t="shared" si="0"/>
        <v>864985</v>
      </c>
      <c r="G9" s="1359">
        <f t="shared" si="1"/>
        <v>91.805792886785042</v>
      </c>
      <c r="H9" s="1360">
        <f t="shared" si="2"/>
        <v>45</v>
      </c>
      <c r="I9" s="1361">
        <v>0</v>
      </c>
      <c r="J9" s="1362">
        <v>22</v>
      </c>
      <c r="K9" s="1362">
        <f t="shared" si="3"/>
        <v>27</v>
      </c>
      <c r="L9" s="1362">
        <v>105</v>
      </c>
      <c r="M9" s="1362">
        <f t="shared" si="4"/>
        <v>10</v>
      </c>
      <c r="N9" s="1362">
        <v>88</v>
      </c>
      <c r="O9" s="1363">
        <f t="shared" si="5"/>
        <v>28</v>
      </c>
      <c r="P9" s="1361">
        <f t="shared" si="6"/>
        <v>215</v>
      </c>
      <c r="Q9" s="1360">
        <f t="shared" si="7"/>
        <v>24</v>
      </c>
    </row>
    <row r="10" spans="1:17" ht="34" customHeight="1">
      <c r="A10" s="1353" t="s">
        <v>241</v>
      </c>
      <c r="B10" s="1354">
        <v>1063097</v>
      </c>
      <c r="C10" s="1355">
        <v>1031350</v>
      </c>
      <c r="D10" s="1356">
        <v>21347</v>
      </c>
      <c r="E10" s="1357">
        <v>269</v>
      </c>
      <c r="F10" s="1358">
        <f t="shared" si="0"/>
        <v>1052966</v>
      </c>
      <c r="G10" s="1359">
        <f t="shared" si="1"/>
        <v>99.047029574911789</v>
      </c>
      <c r="H10" s="1360">
        <f t="shared" si="2"/>
        <v>18</v>
      </c>
      <c r="I10" s="1361">
        <v>4</v>
      </c>
      <c r="J10" s="1362">
        <v>29</v>
      </c>
      <c r="K10" s="1362">
        <f t="shared" si="3"/>
        <v>15</v>
      </c>
      <c r="L10" s="1362">
        <v>32</v>
      </c>
      <c r="M10" s="1362">
        <f t="shared" si="4"/>
        <v>27</v>
      </c>
      <c r="N10" s="1362">
        <v>53</v>
      </c>
      <c r="O10" s="1363">
        <f t="shared" si="5"/>
        <v>37</v>
      </c>
      <c r="P10" s="1361">
        <f t="shared" si="6"/>
        <v>118</v>
      </c>
      <c r="Q10" s="1360">
        <f t="shared" si="7"/>
        <v>38</v>
      </c>
    </row>
    <row r="11" spans="1:17" ht="34" customHeight="1">
      <c r="A11" s="1353" t="s">
        <v>242</v>
      </c>
      <c r="B11" s="1354">
        <v>1819956</v>
      </c>
      <c r="C11" s="1355">
        <v>1638816</v>
      </c>
      <c r="D11" s="1356">
        <v>58477</v>
      </c>
      <c r="E11" s="1357">
        <v>13307</v>
      </c>
      <c r="F11" s="1358">
        <f t="shared" si="0"/>
        <v>1710600</v>
      </c>
      <c r="G11" s="1359">
        <f t="shared" si="1"/>
        <v>93.991283305750244</v>
      </c>
      <c r="H11" s="1360">
        <f t="shared" si="2"/>
        <v>41</v>
      </c>
      <c r="I11" s="1361">
        <v>3</v>
      </c>
      <c r="J11" s="1362">
        <v>37</v>
      </c>
      <c r="K11" s="1362">
        <f t="shared" si="3"/>
        <v>12</v>
      </c>
      <c r="L11" s="1362">
        <v>65</v>
      </c>
      <c r="M11" s="1362">
        <f t="shared" si="4"/>
        <v>16</v>
      </c>
      <c r="N11" s="1362">
        <v>171</v>
      </c>
      <c r="O11" s="1363">
        <f t="shared" si="5"/>
        <v>15</v>
      </c>
      <c r="P11" s="1361">
        <f t="shared" si="6"/>
        <v>276</v>
      </c>
      <c r="Q11" s="1360">
        <f t="shared" si="7"/>
        <v>15</v>
      </c>
    </row>
    <row r="12" spans="1:17" ht="34" customHeight="1">
      <c r="A12" s="1353" t="s">
        <v>243</v>
      </c>
      <c r="B12" s="1354">
        <v>2845097</v>
      </c>
      <c r="C12" s="1355">
        <v>2670126</v>
      </c>
      <c r="D12" s="1356">
        <v>29466</v>
      </c>
      <c r="E12" s="1357">
        <v>4826</v>
      </c>
      <c r="F12" s="1358">
        <f t="shared" si="0"/>
        <v>2704418</v>
      </c>
      <c r="G12" s="1359">
        <f t="shared" si="1"/>
        <v>95.055388269714527</v>
      </c>
      <c r="H12" s="1360">
        <f t="shared" si="2"/>
        <v>35</v>
      </c>
      <c r="I12" s="1361">
        <v>3</v>
      </c>
      <c r="J12" s="1362">
        <v>42</v>
      </c>
      <c r="K12" s="1362">
        <f t="shared" si="3"/>
        <v>8</v>
      </c>
      <c r="L12" s="1362">
        <v>119</v>
      </c>
      <c r="M12" s="1362">
        <f t="shared" si="4"/>
        <v>7</v>
      </c>
      <c r="N12" s="1362">
        <v>222</v>
      </c>
      <c r="O12" s="1363">
        <f t="shared" si="5"/>
        <v>12</v>
      </c>
      <c r="P12" s="1361">
        <f t="shared" si="6"/>
        <v>386</v>
      </c>
      <c r="Q12" s="1360">
        <f t="shared" si="7"/>
        <v>10</v>
      </c>
    </row>
    <row r="13" spans="1:17" ht="34" customHeight="1">
      <c r="A13" s="1353" t="s">
        <v>244</v>
      </c>
      <c r="B13" s="1354">
        <v>1949950</v>
      </c>
      <c r="C13" s="1355">
        <v>1845130</v>
      </c>
      <c r="D13" s="1356">
        <v>3740</v>
      </c>
      <c r="E13" s="1357">
        <v>20436</v>
      </c>
      <c r="F13" s="1358">
        <f t="shared" si="0"/>
        <v>1869306</v>
      </c>
      <c r="G13" s="1359">
        <f t="shared" si="1"/>
        <v>95.864304212928545</v>
      </c>
      <c r="H13" s="1360">
        <f t="shared" si="2"/>
        <v>32</v>
      </c>
      <c r="I13" s="1361">
        <v>2</v>
      </c>
      <c r="J13" s="1362">
        <v>24</v>
      </c>
      <c r="K13" s="1362">
        <f t="shared" si="3"/>
        <v>25</v>
      </c>
      <c r="L13" s="1362">
        <v>6</v>
      </c>
      <c r="M13" s="1362">
        <f t="shared" si="4"/>
        <v>41</v>
      </c>
      <c r="N13" s="1362">
        <v>328</v>
      </c>
      <c r="O13" s="1363">
        <f t="shared" si="5"/>
        <v>9</v>
      </c>
      <c r="P13" s="1361">
        <f t="shared" si="6"/>
        <v>360</v>
      </c>
      <c r="Q13" s="1360">
        <f t="shared" si="7"/>
        <v>11</v>
      </c>
    </row>
    <row r="14" spans="1:17" ht="34" customHeight="1">
      <c r="A14" s="1353" t="s">
        <v>245</v>
      </c>
      <c r="B14" s="1354">
        <v>1953041</v>
      </c>
      <c r="C14" s="1355">
        <v>1871024</v>
      </c>
      <c r="D14" s="1356">
        <v>71006</v>
      </c>
      <c r="E14" s="1357">
        <v>1239</v>
      </c>
      <c r="F14" s="1358">
        <f t="shared" si="0"/>
        <v>1943269</v>
      </c>
      <c r="G14" s="1359">
        <f t="shared" si="1"/>
        <v>99.4996520810367</v>
      </c>
      <c r="H14" s="1360">
        <f t="shared" si="2"/>
        <v>13</v>
      </c>
      <c r="I14" s="1361">
        <v>2</v>
      </c>
      <c r="J14" s="1362">
        <v>20</v>
      </c>
      <c r="K14" s="1362">
        <f t="shared" si="3"/>
        <v>31</v>
      </c>
      <c r="L14" s="1362">
        <v>135</v>
      </c>
      <c r="M14" s="1362">
        <f t="shared" si="4"/>
        <v>4</v>
      </c>
      <c r="N14" s="1362">
        <v>131</v>
      </c>
      <c r="O14" s="1363">
        <f t="shared" si="5"/>
        <v>23</v>
      </c>
      <c r="P14" s="1361">
        <f t="shared" si="6"/>
        <v>288</v>
      </c>
      <c r="Q14" s="1360">
        <f t="shared" si="7"/>
        <v>14</v>
      </c>
    </row>
    <row r="15" spans="1:17" ht="34" customHeight="1">
      <c r="A15" s="1353" t="s">
        <v>246</v>
      </c>
      <c r="B15" s="1354">
        <v>7345171</v>
      </c>
      <c r="C15" s="1355">
        <v>7319270</v>
      </c>
      <c r="D15" s="1356">
        <v>5030</v>
      </c>
      <c r="E15" s="1357">
        <v>5619</v>
      </c>
      <c r="F15" s="1358">
        <f t="shared" si="0"/>
        <v>7329919</v>
      </c>
      <c r="G15" s="1359">
        <f t="shared" si="1"/>
        <v>99.792353370670341</v>
      </c>
      <c r="H15" s="1360">
        <f t="shared" si="2"/>
        <v>7</v>
      </c>
      <c r="I15" s="1361">
        <v>1</v>
      </c>
      <c r="J15" s="1362">
        <v>55</v>
      </c>
      <c r="K15" s="1362">
        <f t="shared" si="3"/>
        <v>3</v>
      </c>
      <c r="L15" s="1362">
        <v>6</v>
      </c>
      <c r="M15" s="1362">
        <f t="shared" si="4"/>
        <v>41</v>
      </c>
      <c r="N15" s="1362">
        <v>347</v>
      </c>
      <c r="O15" s="1363">
        <f t="shared" si="5"/>
        <v>8</v>
      </c>
      <c r="P15" s="1361">
        <f t="shared" si="6"/>
        <v>409</v>
      </c>
      <c r="Q15" s="1360">
        <f t="shared" si="7"/>
        <v>7</v>
      </c>
    </row>
    <row r="16" spans="1:17" ht="34" customHeight="1">
      <c r="A16" s="1353" t="s">
        <v>247</v>
      </c>
      <c r="B16" s="1354">
        <v>6283727</v>
      </c>
      <c r="C16" s="1355">
        <v>5946716</v>
      </c>
      <c r="D16" s="1356">
        <v>6043</v>
      </c>
      <c r="E16" s="1357">
        <v>42523</v>
      </c>
      <c r="F16" s="1358">
        <f t="shared" si="0"/>
        <v>5995282</v>
      </c>
      <c r="G16" s="1359">
        <f t="shared" si="1"/>
        <v>95.409650992158006</v>
      </c>
      <c r="H16" s="1360">
        <f t="shared" si="2"/>
        <v>33</v>
      </c>
      <c r="I16" s="1361">
        <v>6</v>
      </c>
      <c r="J16" s="1362">
        <v>40</v>
      </c>
      <c r="K16" s="1362">
        <f t="shared" si="3"/>
        <v>9</v>
      </c>
      <c r="L16" s="1362">
        <v>3</v>
      </c>
      <c r="M16" s="1362">
        <f t="shared" si="4"/>
        <v>45</v>
      </c>
      <c r="N16" s="1362">
        <v>931</v>
      </c>
      <c r="O16" s="1363">
        <f t="shared" si="5"/>
        <v>1</v>
      </c>
      <c r="P16" s="1361">
        <f t="shared" si="6"/>
        <v>980</v>
      </c>
      <c r="Q16" s="1360">
        <f t="shared" si="7"/>
        <v>1</v>
      </c>
    </row>
    <row r="17" spans="1:17" ht="34" customHeight="1">
      <c r="A17" s="1353" t="s">
        <v>248</v>
      </c>
      <c r="B17" s="1354">
        <v>13958188</v>
      </c>
      <c r="C17" s="1355">
        <v>13922255</v>
      </c>
      <c r="D17" s="1356">
        <v>12024</v>
      </c>
      <c r="E17" s="1357">
        <v>23539</v>
      </c>
      <c r="F17" s="1358">
        <f t="shared" si="0"/>
        <v>13957818</v>
      </c>
      <c r="G17" s="1359">
        <f t="shared" si="1"/>
        <v>99.997349226131647</v>
      </c>
      <c r="H17" s="1360">
        <f t="shared" si="2"/>
        <v>1</v>
      </c>
      <c r="I17" s="1361">
        <v>0</v>
      </c>
      <c r="J17" s="1362">
        <v>6</v>
      </c>
      <c r="K17" s="1362">
        <f t="shared" si="3"/>
        <v>46</v>
      </c>
      <c r="L17" s="1362">
        <v>8</v>
      </c>
      <c r="M17" s="1362">
        <f t="shared" si="4"/>
        <v>37</v>
      </c>
      <c r="N17" s="1362">
        <v>413</v>
      </c>
      <c r="O17" s="1363">
        <f t="shared" si="5"/>
        <v>5</v>
      </c>
      <c r="P17" s="1361">
        <f t="shared" si="6"/>
        <v>427</v>
      </c>
      <c r="Q17" s="1360">
        <f t="shared" si="7"/>
        <v>6</v>
      </c>
    </row>
    <row r="18" spans="1:17" ht="34" customHeight="1">
      <c r="A18" s="1353" t="s">
        <v>249</v>
      </c>
      <c r="B18" s="1354">
        <v>9230658</v>
      </c>
      <c r="C18" s="1355">
        <v>9198257</v>
      </c>
      <c r="D18" s="1356">
        <v>14595</v>
      </c>
      <c r="E18" s="1357">
        <v>4897</v>
      </c>
      <c r="F18" s="1358">
        <f t="shared" si="0"/>
        <v>9217749</v>
      </c>
      <c r="G18" s="1359">
        <f t="shared" si="1"/>
        <v>99.860150814817317</v>
      </c>
      <c r="H18" s="1360">
        <f t="shared" si="2"/>
        <v>6</v>
      </c>
      <c r="I18" s="1361">
        <v>1</v>
      </c>
      <c r="J18" s="1362">
        <v>20</v>
      </c>
      <c r="K18" s="1362">
        <f t="shared" si="3"/>
        <v>31</v>
      </c>
      <c r="L18" s="1362">
        <v>15</v>
      </c>
      <c r="M18" s="1362">
        <f t="shared" si="4"/>
        <v>34</v>
      </c>
      <c r="N18" s="1362">
        <v>488</v>
      </c>
      <c r="O18" s="1363">
        <f t="shared" si="5"/>
        <v>3</v>
      </c>
      <c r="P18" s="1361">
        <f t="shared" si="6"/>
        <v>524</v>
      </c>
      <c r="Q18" s="1360">
        <f t="shared" si="7"/>
        <v>4</v>
      </c>
    </row>
    <row r="19" spans="1:17" ht="34" customHeight="1">
      <c r="A19" s="1353" t="s">
        <v>250</v>
      </c>
      <c r="B19" s="1354">
        <v>2184100</v>
      </c>
      <c r="C19" s="1355">
        <v>2081367</v>
      </c>
      <c r="D19" s="1356">
        <v>88762</v>
      </c>
      <c r="E19" s="1357">
        <v>3351</v>
      </c>
      <c r="F19" s="1358">
        <f t="shared" si="0"/>
        <v>2173480</v>
      </c>
      <c r="G19" s="1359">
        <f t="shared" si="1"/>
        <v>99.513758527539949</v>
      </c>
      <c r="H19" s="1360">
        <f t="shared" si="2"/>
        <v>12</v>
      </c>
      <c r="I19" s="1361">
        <v>3</v>
      </c>
      <c r="J19" s="1362">
        <v>25</v>
      </c>
      <c r="K19" s="1362">
        <f t="shared" si="3"/>
        <v>24</v>
      </c>
      <c r="L19" s="1362">
        <v>145</v>
      </c>
      <c r="M19" s="1362">
        <f t="shared" si="4"/>
        <v>2</v>
      </c>
      <c r="N19" s="1362">
        <v>65</v>
      </c>
      <c r="O19" s="1363">
        <f t="shared" si="5"/>
        <v>34</v>
      </c>
      <c r="P19" s="1361">
        <f t="shared" si="6"/>
        <v>238</v>
      </c>
      <c r="Q19" s="1360">
        <f t="shared" si="7"/>
        <v>19</v>
      </c>
    </row>
    <row r="20" spans="1:17" ht="34" customHeight="1">
      <c r="A20" s="1353" t="s">
        <v>251</v>
      </c>
      <c r="B20" s="1354">
        <v>1029042</v>
      </c>
      <c r="C20" s="1355">
        <v>935897</v>
      </c>
      <c r="D20" s="1356">
        <v>22462</v>
      </c>
      <c r="E20" s="1357">
        <v>2800</v>
      </c>
      <c r="F20" s="1358">
        <f t="shared" si="0"/>
        <v>961159</v>
      </c>
      <c r="G20" s="1359">
        <f t="shared" si="1"/>
        <v>93.403281887425393</v>
      </c>
      <c r="H20" s="1360">
        <f t="shared" si="2"/>
        <v>43</v>
      </c>
      <c r="I20" s="1361">
        <v>3</v>
      </c>
      <c r="J20" s="1362">
        <v>12</v>
      </c>
      <c r="K20" s="1362">
        <f t="shared" si="3"/>
        <v>43</v>
      </c>
      <c r="L20" s="1362">
        <v>46</v>
      </c>
      <c r="M20" s="1362">
        <f t="shared" si="4"/>
        <v>22</v>
      </c>
      <c r="N20" s="1362">
        <v>161</v>
      </c>
      <c r="O20" s="1363">
        <f t="shared" si="5"/>
        <v>18</v>
      </c>
      <c r="P20" s="1361">
        <f t="shared" si="6"/>
        <v>222</v>
      </c>
      <c r="Q20" s="1360">
        <f t="shared" si="7"/>
        <v>22</v>
      </c>
    </row>
    <row r="21" spans="1:17" ht="34" customHeight="1">
      <c r="A21" s="1353" t="s">
        <v>252</v>
      </c>
      <c r="B21" s="1354">
        <v>1128274</v>
      </c>
      <c r="C21" s="1355">
        <v>1078513</v>
      </c>
      <c r="D21" s="1356">
        <v>31658</v>
      </c>
      <c r="E21" s="1357">
        <v>2589</v>
      </c>
      <c r="F21" s="1358">
        <f t="shared" si="0"/>
        <v>1112760</v>
      </c>
      <c r="G21" s="1359">
        <f t="shared" si="1"/>
        <v>98.624979393303406</v>
      </c>
      <c r="H21" s="1360">
        <f t="shared" si="2"/>
        <v>21</v>
      </c>
      <c r="I21" s="1361">
        <v>1</v>
      </c>
      <c r="J21" s="1362">
        <v>18</v>
      </c>
      <c r="K21" s="1362">
        <f t="shared" si="3"/>
        <v>35</v>
      </c>
      <c r="L21" s="1362">
        <v>91</v>
      </c>
      <c r="M21" s="1362">
        <f t="shared" si="4"/>
        <v>11</v>
      </c>
      <c r="N21" s="1362">
        <v>98</v>
      </c>
      <c r="O21" s="1363">
        <f t="shared" si="5"/>
        <v>26</v>
      </c>
      <c r="P21" s="1361">
        <f t="shared" si="6"/>
        <v>208</v>
      </c>
      <c r="Q21" s="1360">
        <f t="shared" si="7"/>
        <v>26</v>
      </c>
    </row>
    <row r="22" spans="1:17" ht="34" customHeight="1">
      <c r="A22" s="1353" t="s">
        <v>253</v>
      </c>
      <c r="B22" s="1354">
        <v>771466</v>
      </c>
      <c r="C22" s="1355">
        <v>693022</v>
      </c>
      <c r="D22" s="1356">
        <v>50625</v>
      </c>
      <c r="E22" s="1357">
        <v>935</v>
      </c>
      <c r="F22" s="1358">
        <f t="shared" si="0"/>
        <v>744582</v>
      </c>
      <c r="G22" s="1359">
        <f t="shared" si="1"/>
        <v>96.51520611407372</v>
      </c>
      <c r="H22" s="1360">
        <f t="shared" si="2"/>
        <v>31</v>
      </c>
      <c r="I22" s="1361">
        <v>2</v>
      </c>
      <c r="J22" s="1362">
        <v>15</v>
      </c>
      <c r="K22" s="1362">
        <f t="shared" si="3"/>
        <v>39</v>
      </c>
      <c r="L22" s="1362">
        <v>114</v>
      </c>
      <c r="M22" s="1362">
        <f t="shared" si="4"/>
        <v>9</v>
      </c>
      <c r="N22" s="1362">
        <v>28</v>
      </c>
      <c r="O22" s="1363">
        <f t="shared" si="5"/>
        <v>45</v>
      </c>
      <c r="P22" s="1361">
        <f t="shared" si="6"/>
        <v>159</v>
      </c>
      <c r="Q22" s="1360">
        <f t="shared" si="7"/>
        <v>31</v>
      </c>
    </row>
    <row r="23" spans="1:17" ht="34" customHeight="1">
      <c r="A23" s="1353" t="s">
        <v>254</v>
      </c>
      <c r="B23" s="1354">
        <v>817871</v>
      </c>
      <c r="C23" s="1355">
        <v>716515</v>
      </c>
      <c r="D23" s="1356">
        <v>84489</v>
      </c>
      <c r="E23" s="1357">
        <v>4455</v>
      </c>
      <c r="F23" s="1358">
        <f t="shared" si="0"/>
        <v>805459</v>
      </c>
      <c r="G23" s="1359">
        <f t="shared" si="1"/>
        <v>98.482401258878241</v>
      </c>
      <c r="H23" s="1360">
        <f t="shared" si="2"/>
        <v>22</v>
      </c>
      <c r="I23" s="1361">
        <v>2</v>
      </c>
      <c r="J23" s="1362">
        <v>16</v>
      </c>
      <c r="K23" s="1362">
        <f t="shared" si="3"/>
        <v>38</v>
      </c>
      <c r="L23" s="1362">
        <v>145</v>
      </c>
      <c r="M23" s="1362">
        <f t="shared" si="4"/>
        <v>2</v>
      </c>
      <c r="N23" s="1362">
        <v>35</v>
      </c>
      <c r="O23" s="1363">
        <f t="shared" si="5"/>
        <v>42</v>
      </c>
      <c r="P23" s="1361">
        <f t="shared" si="6"/>
        <v>198</v>
      </c>
      <c r="Q23" s="1360">
        <f t="shared" si="7"/>
        <v>27</v>
      </c>
    </row>
    <row r="24" spans="1:17" ht="34" customHeight="1">
      <c r="A24" s="1364" t="s">
        <v>256</v>
      </c>
      <c r="B24" s="1365">
        <v>2022222</v>
      </c>
      <c r="C24" s="1366">
        <v>1918018</v>
      </c>
      <c r="D24" s="1367">
        <v>82761</v>
      </c>
      <c r="E24" s="1368">
        <v>1831</v>
      </c>
      <c r="F24" s="1369">
        <f t="shared" si="0"/>
        <v>2002610</v>
      </c>
      <c r="G24" s="1370">
        <f t="shared" si="1"/>
        <v>99.030175717601736</v>
      </c>
      <c r="H24" s="1371">
        <f t="shared" si="2"/>
        <v>19</v>
      </c>
      <c r="I24" s="1372">
        <v>4</v>
      </c>
      <c r="J24" s="1373">
        <v>61</v>
      </c>
      <c r="K24" s="1373">
        <f t="shared" si="3"/>
        <v>2</v>
      </c>
      <c r="L24" s="1373">
        <v>124</v>
      </c>
      <c r="M24" s="1373">
        <f t="shared" si="4"/>
        <v>5</v>
      </c>
      <c r="N24" s="1373">
        <v>69</v>
      </c>
      <c r="O24" s="1374">
        <f t="shared" si="5"/>
        <v>32</v>
      </c>
      <c r="P24" s="1372">
        <f t="shared" si="6"/>
        <v>258</v>
      </c>
      <c r="Q24" s="1371">
        <f t="shared" si="7"/>
        <v>17</v>
      </c>
    </row>
    <row r="25" spans="1:17" ht="34" customHeight="1">
      <c r="A25" s="1353" t="s">
        <v>257</v>
      </c>
      <c r="B25" s="1354">
        <v>1969183</v>
      </c>
      <c r="C25" s="1355">
        <v>1807592</v>
      </c>
      <c r="D25" s="1356">
        <v>59044</v>
      </c>
      <c r="E25" s="1357">
        <v>4569</v>
      </c>
      <c r="F25" s="1358">
        <f t="shared" si="0"/>
        <v>1871205</v>
      </c>
      <c r="G25" s="1359">
        <f t="shared" si="1"/>
        <v>95.024433991152677</v>
      </c>
      <c r="H25" s="1360">
        <f t="shared" si="2"/>
        <v>36</v>
      </c>
      <c r="I25" s="1361">
        <v>1</v>
      </c>
      <c r="J25" s="1362">
        <v>39</v>
      </c>
      <c r="K25" s="1362">
        <f t="shared" si="3"/>
        <v>10</v>
      </c>
      <c r="L25" s="1362">
        <v>58</v>
      </c>
      <c r="M25" s="1362">
        <f t="shared" si="4"/>
        <v>17</v>
      </c>
      <c r="N25" s="1362">
        <v>209</v>
      </c>
      <c r="O25" s="1363">
        <f t="shared" si="5"/>
        <v>13</v>
      </c>
      <c r="P25" s="1361">
        <f t="shared" si="6"/>
        <v>307</v>
      </c>
      <c r="Q25" s="1360">
        <f t="shared" si="7"/>
        <v>12</v>
      </c>
    </row>
    <row r="26" spans="1:17" ht="34" customHeight="1">
      <c r="A26" s="1353" t="s">
        <v>258</v>
      </c>
      <c r="B26" s="1354">
        <v>3602209</v>
      </c>
      <c r="C26" s="1355">
        <v>3498665</v>
      </c>
      <c r="D26" s="1356">
        <v>54102</v>
      </c>
      <c r="E26" s="1357">
        <v>15386</v>
      </c>
      <c r="F26" s="1358">
        <f t="shared" si="0"/>
        <v>3568153</v>
      </c>
      <c r="G26" s="1359">
        <f t="shared" si="1"/>
        <v>99.054580120142944</v>
      </c>
      <c r="H26" s="1360">
        <f t="shared" si="2"/>
        <v>17</v>
      </c>
      <c r="I26" s="1361">
        <v>4</v>
      </c>
      <c r="J26" s="1362">
        <v>37</v>
      </c>
      <c r="K26" s="1362">
        <f t="shared" si="3"/>
        <v>12</v>
      </c>
      <c r="L26" s="1362">
        <v>116</v>
      </c>
      <c r="M26" s="1362">
        <f t="shared" si="4"/>
        <v>8</v>
      </c>
      <c r="N26" s="1362">
        <v>401</v>
      </c>
      <c r="O26" s="1363">
        <f t="shared" si="5"/>
        <v>6</v>
      </c>
      <c r="P26" s="1361">
        <f t="shared" si="6"/>
        <v>558</v>
      </c>
      <c r="Q26" s="1360">
        <f t="shared" si="7"/>
        <v>3</v>
      </c>
    </row>
    <row r="27" spans="1:17" ht="34" customHeight="1">
      <c r="A27" s="1353" t="s">
        <v>259</v>
      </c>
      <c r="B27" s="1354">
        <v>7521192</v>
      </c>
      <c r="C27" s="1355">
        <v>7494551</v>
      </c>
      <c r="D27" s="1356">
        <v>9173</v>
      </c>
      <c r="E27" s="1357">
        <v>11604</v>
      </c>
      <c r="F27" s="1358">
        <f t="shared" si="0"/>
        <v>7515328</v>
      </c>
      <c r="G27" s="1359">
        <f t="shared" si="1"/>
        <v>99.92203363509401</v>
      </c>
      <c r="H27" s="1360">
        <f t="shared" si="2"/>
        <v>4</v>
      </c>
      <c r="I27" s="1361">
        <v>1</v>
      </c>
      <c r="J27" s="1362">
        <v>43</v>
      </c>
      <c r="K27" s="1362">
        <f t="shared" si="3"/>
        <v>5</v>
      </c>
      <c r="L27" s="1362">
        <v>4</v>
      </c>
      <c r="M27" s="1362">
        <f t="shared" si="4"/>
        <v>44</v>
      </c>
      <c r="N27" s="1362">
        <v>259</v>
      </c>
      <c r="O27" s="1363">
        <f t="shared" si="5"/>
        <v>10</v>
      </c>
      <c r="P27" s="1361">
        <f t="shared" si="6"/>
        <v>307</v>
      </c>
      <c r="Q27" s="1360">
        <f t="shared" si="7"/>
        <v>12</v>
      </c>
    </row>
    <row r="28" spans="1:17" ht="34" customHeight="1">
      <c r="A28" s="1353" t="s">
        <v>260</v>
      </c>
      <c r="B28" s="1354">
        <v>1794668</v>
      </c>
      <c r="C28" s="1355">
        <v>1778560</v>
      </c>
      <c r="D28" s="1356">
        <v>8529</v>
      </c>
      <c r="E28" s="1357">
        <v>1323</v>
      </c>
      <c r="F28" s="1358">
        <f t="shared" si="0"/>
        <v>1788412</v>
      </c>
      <c r="G28" s="1359">
        <f t="shared" si="1"/>
        <v>99.651411848876776</v>
      </c>
      <c r="H28" s="1360">
        <f t="shared" si="2"/>
        <v>10</v>
      </c>
      <c r="I28" s="1361">
        <v>2</v>
      </c>
      <c r="J28" s="1362">
        <v>29</v>
      </c>
      <c r="K28" s="1362">
        <f t="shared" si="3"/>
        <v>15</v>
      </c>
      <c r="L28" s="1362">
        <v>25</v>
      </c>
      <c r="M28" s="1362">
        <f t="shared" si="4"/>
        <v>29</v>
      </c>
      <c r="N28" s="1362">
        <v>153</v>
      </c>
      <c r="O28" s="1363">
        <f t="shared" si="5"/>
        <v>19</v>
      </c>
      <c r="P28" s="1361">
        <f t="shared" si="6"/>
        <v>209</v>
      </c>
      <c r="Q28" s="1360">
        <f t="shared" si="7"/>
        <v>25</v>
      </c>
    </row>
    <row r="29" spans="1:17" ht="34" customHeight="1">
      <c r="A29" s="1353" t="s">
        <v>261</v>
      </c>
      <c r="B29" s="1354">
        <v>1416331</v>
      </c>
      <c r="C29" s="1355">
        <v>1392429</v>
      </c>
      <c r="D29" s="1356">
        <v>14249</v>
      </c>
      <c r="E29" s="1357">
        <v>5210</v>
      </c>
      <c r="F29" s="1358">
        <f t="shared" si="0"/>
        <v>1411888</v>
      </c>
      <c r="G29" s="1359">
        <f t="shared" si="1"/>
        <v>99.686302142648856</v>
      </c>
      <c r="H29" s="1360">
        <f t="shared" si="2"/>
        <v>9</v>
      </c>
      <c r="I29" s="1361">
        <v>1</v>
      </c>
      <c r="J29" s="1362">
        <v>22</v>
      </c>
      <c r="K29" s="1362">
        <f t="shared" si="3"/>
        <v>27</v>
      </c>
      <c r="L29" s="1362">
        <v>8</v>
      </c>
      <c r="M29" s="1362">
        <f t="shared" si="4"/>
        <v>37</v>
      </c>
      <c r="N29" s="1362">
        <v>78</v>
      </c>
      <c r="O29" s="1363">
        <f t="shared" si="5"/>
        <v>29</v>
      </c>
      <c r="P29" s="1361">
        <f t="shared" si="6"/>
        <v>109</v>
      </c>
      <c r="Q29" s="1360">
        <f t="shared" si="7"/>
        <v>39</v>
      </c>
    </row>
    <row r="30" spans="1:17" ht="34" customHeight="1">
      <c r="A30" s="1353" t="s">
        <v>262</v>
      </c>
      <c r="B30" s="1354">
        <v>2570930</v>
      </c>
      <c r="C30" s="1355">
        <v>2551375</v>
      </c>
      <c r="D30" s="1375">
        <v>11187</v>
      </c>
      <c r="E30" s="1376">
        <v>1917</v>
      </c>
      <c r="F30" s="1358">
        <f t="shared" si="0"/>
        <v>2564479</v>
      </c>
      <c r="G30" s="1359">
        <f t="shared" si="1"/>
        <v>99.749079127008514</v>
      </c>
      <c r="H30" s="1360">
        <f t="shared" si="2"/>
        <v>8</v>
      </c>
      <c r="I30" s="1361">
        <v>1</v>
      </c>
      <c r="J30" s="1362">
        <v>22</v>
      </c>
      <c r="K30" s="1362">
        <f t="shared" si="3"/>
        <v>27</v>
      </c>
      <c r="L30" s="1362">
        <v>8</v>
      </c>
      <c r="M30" s="1362">
        <f t="shared" si="4"/>
        <v>37</v>
      </c>
      <c r="N30" s="1362">
        <v>136</v>
      </c>
      <c r="O30" s="1363">
        <f t="shared" si="5"/>
        <v>22</v>
      </c>
      <c r="P30" s="1361">
        <f t="shared" si="6"/>
        <v>167</v>
      </c>
      <c r="Q30" s="1360">
        <f t="shared" si="7"/>
        <v>30</v>
      </c>
    </row>
    <row r="31" spans="1:17" ht="34" customHeight="1">
      <c r="A31" s="1353" t="s">
        <v>263</v>
      </c>
      <c r="B31" s="1354">
        <v>8802755</v>
      </c>
      <c r="C31" s="1355">
        <v>8800205</v>
      </c>
      <c r="D31" s="1356">
        <v>0</v>
      </c>
      <c r="E31" s="1357">
        <v>1243</v>
      </c>
      <c r="F31" s="1358">
        <f t="shared" si="0"/>
        <v>8801448</v>
      </c>
      <c r="G31" s="1359">
        <f t="shared" si="1"/>
        <v>99.985152375591497</v>
      </c>
      <c r="H31" s="1360">
        <f t="shared" si="2"/>
        <v>2</v>
      </c>
      <c r="I31" s="1361">
        <v>2</v>
      </c>
      <c r="J31" s="1362">
        <v>43</v>
      </c>
      <c r="K31" s="1362">
        <f t="shared" si="3"/>
        <v>5</v>
      </c>
      <c r="L31" s="1362">
        <v>0</v>
      </c>
      <c r="M31" s="1362">
        <f t="shared" si="4"/>
        <v>47</v>
      </c>
      <c r="N31" s="1362">
        <v>360</v>
      </c>
      <c r="O31" s="1363">
        <f t="shared" si="5"/>
        <v>7</v>
      </c>
      <c r="P31" s="1361">
        <f t="shared" si="6"/>
        <v>405</v>
      </c>
      <c r="Q31" s="1360">
        <f t="shared" si="7"/>
        <v>9</v>
      </c>
    </row>
    <row r="32" spans="1:17" ht="34" customHeight="1">
      <c r="A32" s="1353" t="s">
        <v>264</v>
      </c>
      <c r="B32" s="1354">
        <v>5449084</v>
      </c>
      <c r="C32" s="1355">
        <v>5420678</v>
      </c>
      <c r="D32" s="1356">
        <v>19907</v>
      </c>
      <c r="E32" s="1357">
        <v>1117</v>
      </c>
      <c r="F32" s="1358">
        <f t="shared" si="0"/>
        <v>5441702</v>
      </c>
      <c r="G32" s="1359">
        <f t="shared" si="1"/>
        <v>99.864527689424492</v>
      </c>
      <c r="H32" s="1360">
        <f t="shared" si="2"/>
        <v>5</v>
      </c>
      <c r="I32" s="1361">
        <v>4</v>
      </c>
      <c r="J32" s="1362">
        <v>43</v>
      </c>
      <c r="K32" s="1362">
        <f t="shared" si="3"/>
        <v>5</v>
      </c>
      <c r="L32" s="1362">
        <v>16</v>
      </c>
      <c r="M32" s="1362">
        <f t="shared" si="4"/>
        <v>32</v>
      </c>
      <c r="N32" s="1362">
        <v>170</v>
      </c>
      <c r="O32" s="1363">
        <f t="shared" si="5"/>
        <v>16</v>
      </c>
      <c r="P32" s="1361">
        <f t="shared" si="6"/>
        <v>233</v>
      </c>
      <c r="Q32" s="1360">
        <f t="shared" si="7"/>
        <v>21</v>
      </c>
    </row>
    <row r="33" spans="1:17" ht="34" customHeight="1">
      <c r="A33" s="1353" t="s">
        <v>265</v>
      </c>
      <c r="B33" s="1354">
        <v>1322891</v>
      </c>
      <c r="C33" s="1355">
        <v>1300499</v>
      </c>
      <c r="D33" s="1356">
        <v>14752</v>
      </c>
      <c r="E33" s="1357">
        <v>272</v>
      </c>
      <c r="F33" s="1358">
        <f t="shared" si="0"/>
        <v>1315523</v>
      </c>
      <c r="G33" s="1359">
        <f t="shared" si="1"/>
        <v>99.443038012957985</v>
      </c>
      <c r="H33" s="1360">
        <f t="shared" si="2"/>
        <v>14</v>
      </c>
      <c r="I33" s="1361">
        <v>1</v>
      </c>
      <c r="J33" s="1362">
        <v>29</v>
      </c>
      <c r="K33" s="1362">
        <f t="shared" si="3"/>
        <v>15</v>
      </c>
      <c r="L33" s="1362">
        <v>15</v>
      </c>
      <c r="M33" s="1362">
        <f t="shared" si="4"/>
        <v>34</v>
      </c>
      <c r="N33" s="1362">
        <v>56</v>
      </c>
      <c r="O33" s="1363">
        <f t="shared" si="5"/>
        <v>36</v>
      </c>
      <c r="P33" s="1361">
        <f t="shared" si="6"/>
        <v>101</v>
      </c>
      <c r="Q33" s="1360">
        <f t="shared" si="7"/>
        <v>44</v>
      </c>
    </row>
    <row r="34" spans="1:17" ht="34" customHeight="1">
      <c r="A34" s="1353" t="s">
        <v>266</v>
      </c>
      <c r="B34" s="1354">
        <v>930161</v>
      </c>
      <c r="C34" s="1355">
        <v>870773</v>
      </c>
      <c r="D34" s="1356">
        <v>36399</v>
      </c>
      <c r="E34" s="1357">
        <v>1316</v>
      </c>
      <c r="F34" s="1358">
        <f t="shared" si="0"/>
        <v>908488</v>
      </c>
      <c r="G34" s="1359">
        <f t="shared" si="1"/>
        <v>97.669973262693233</v>
      </c>
      <c r="H34" s="1360">
        <f t="shared" si="2"/>
        <v>27</v>
      </c>
      <c r="I34" s="1361">
        <v>2</v>
      </c>
      <c r="J34" s="1362">
        <v>26</v>
      </c>
      <c r="K34" s="1362">
        <f t="shared" si="3"/>
        <v>21</v>
      </c>
      <c r="L34" s="1362">
        <v>51</v>
      </c>
      <c r="M34" s="1362">
        <f t="shared" si="4"/>
        <v>19</v>
      </c>
      <c r="N34" s="1362">
        <v>25</v>
      </c>
      <c r="O34" s="1363">
        <f t="shared" si="5"/>
        <v>46</v>
      </c>
      <c r="P34" s="1361">
        <f t="shared" si="6"/>
        <v>104</v>
      </c>
      <c r="Q34" s="1360">
        <f t="shared" si="7"/>
        <v>42</v>
      </c>
    </row>
    <row r="35" spans="1:17" ht="34" customHeight="1">
      <c r="A35" s="1353" t="s">
        <v>267</v>
      </c>
      <c r="B35" s="1354">
        <v>554088</v>
      </c>
      <c r="C35" s="1355">
        <v>501406</v>
      </c>
      <c r="D35" s="1356">
        <v>38464</v>
      </c>
      <c r="E35" s="1357">
        <v>2716</v>
      </c>
      <c r="F35" s="1358">
        <f t="shared" si="0"/>
        <v>542586</v>
      </c>
      <c r="G35" s="1359">
        <f t="shared" si="1"/>
        <v>97.924156451682762</v>
      </c>
      <c r="H35" s="1360">
        <f t="shared" si="2"/>
        <v>24</v>
      </c>
      <c r="I35" s="1361">
        <v>0</v>
      </c>
      <c r="J35" s="1362">
        <v>12</v>
      </c>
      <c r="K35" s="1362">
        <f t="shared" si="3"/>
        <v>43</v>
      </c>
      <c r="L35" s="1362">
        <v>83</v>
      </c>
      <c r="M35" s="1362">
        <f t="shared" si="4"/>
        <v>13</v>
      </c>
      <c r="N35" s="1362">
        <v>33</v>
      </c>
      <c r="O35" s="1363">
        <f t="shared" si="5"/>
        <v>43</v>
      </c>
      <c r="P35" s="1361">
        <f t="shared" si="6"/>
        <v>128</v>
      </c>
      <c r="Q35" s="1360">
        <f t="shared" si="7"/>
        <v>36</v>
      </c>
    </row>
    <row r="36" spans="1:17" ht="34" customHeight="1">
      <c r="A36" s="1353" t="s">
        <v>268</v>
      </c>
      <c r="B36" s="1354">
        <v>666970</v>
      </c>
      <c r="C36" s="1355">
        <v>629925</v>
      </c>
      <c r="D36" s="1356">
        <v>16891</v>
      </c>
      <c r="E36" s="1357">
        <v>502</v>
      </c>
      <c r="F36" s="1358">
        <f t="shared" si="0"/>
        <v>647318</v>
      </c>
      <c r="G36" s="1359">
        <f t="shared" si="1"/>
        <v>97.053540639009256</v>
      </c>
      <c r="H36" s="1360">
        <f t="shared" si="2"/>
        <v>29</v>
      </c>
      <c r="I36" s="1361">
        <v>2</v>
      </c>
      <c r="J36" s="1362">
        <v>14</v>
      </c>
      <c r="K36" s="1362">
        <f t="shared" si="3"/>
        <v>42</v>
      </c>
      <c r="L36" s="1362">
        <v>8</v>
      </c>
      <c r="M36" s="1362">
        <f t="shared" si="4"/>
        <v>37</v>
      </c>
      <c r="N36" s="1362">
        <v>24</v>
      </c>
      <c r="O36" s="1363">
        <f t="shared" si="5"/>
        <v>47</v>
      </c>
      <c r="P36" s="1361">
        <f t="shared" si="6"/>
        <v>48</v>
      </c>
      <c r="Q36" s="1360">
        <f t="shared" si="7"/>
        <v>46</v>
      </c>
    </row>
    <row r="37" spans="1:17" ht="34" customHeight="1">
      <c r="A37" s="1353" t="s">
        <v>269</v>
      </c>
      <c r="B37" s="1354">
        <v>1875525</v>
      </c>
      <c r="C37" s="1355">
        <v>1811672</v>
      </c>
      <c r="D37" s="1356">
        <v>46482</v>
      </c>
      <c r="E37" s="1357">
        <v>2047</v>
      </c>
      <c r="F37" s="1358">
        <f t="shared" si="0"/>
        <v>1860201</v>
      </c>
      <c r="G37" s="1359">
        <f t="shared" si="1"/>
        <v>99.182948774343188</v>
      </c>
      <c r="H37" s="1360">
        <f t="shared" si="2"/>
        <v>16</v>
      </c>
      <c r="I37" s="1361">
        <v>4</v>
      </c>
      <c r="J37" s="1362">
        <v>24</v>
      </c>
      <c r="K37" s="1362">
        <f t="shared" si="3"/>
        <v>25</v>
      </c>
      <c r="L37" s="1362">
        <v>37</v>
      </c>
      <c r="M37" s="1362">
        <f t="shared" si="4"/>
        <v>25</v>
      </c>
      <c r="N37" s="1362">
        <v>63</v>
      </c>
      <c r="O37" s="1363">
        <f t="shared" si="5"/>
        <v>35</v>
      </c>
      <c r="P37" s="1361">
        <f t="shared" si="6"/>
        <v>128</v>
      </c>
      <c r="Q37" s="1360">
        <f t="shared" si="7"/>
        <v>36</v>
      </c>
    </row>
    <row r="38" spans="1:17" ht="34" customHeight="1">
      <c r="A38" s="1353" t="s">
        <v>270</v>
      </c>
      <c r="B38" s="1354">
        <v>2802870</v>
      </c>
      <c r="C38" s="1355">
        <v>2640886</v>
      </c>
      <c r="D38" s="1356">
        <v>10529</v>
      </c>
      <c r="E38" s="1357">
        <v>7586</v>
      </c>
      <c r="F38" s="1358">
        <f t="shared" si="0"/>
        <v>2659001</v>
      </c>
      <c r="G38" s="1359">
        <f t="shared" si="1"/>
        <v>94.867082668835863</v>
      </c>
      <c r="H38" s="1360">
        <f t="shared" si="2"/>
        <v>38</v>
      </c>
      <c r="I38" s="1361">
        <v>3</v>
      </c>
      <c r="J38" s="1362">
        <v>19</v>
      </c>
      <c r="K38" s="1362">
        <f t="shared" si="3"/>
        <v>34</v>
      </c>
      <c r="L38" s="1362">
        <v>5</v>
      </c>
      <c r="M38" s="1362">
        <f t="shared" si="4"/>
        <v>43</v>
      </c>
      <c r="N38" s="1362">
        <v>168</v>
      </c>
      <c r="O38" s="1363">
        <f t="shared" si="5"/>
        <v>17</v>
      </c>
      <c r="P38" s="1361">
        <f t="shared" si="6"/>
        <v>195</v>
      </c>
      <c r="Q38" s="1360">
        <f t="shared" si="7"/>
        <v>28</v>
      </c>
    </row>
    <row r="39" spans="1:17" ht="34" customHeight="1">
      <c r="A39" s="1353" t="s">
        <v>271</v>
      </c>
      <c r="B39" s="1354">
        <v>1333292</v>
      </c>
      <c r="C39" s="1355">
        <v>1236003</v>
      </c>
      <c r="D39" s="1356">
        <v>11474</v>
      </c>
      <c r="E39" s="1357">
        <v>4477</v>
      </c>
      <c r="F39" s="1358">
        <f t="shared" si="0"/>
        <v>1251954</v>
      </c>
      <c r="G39" s="1359">
        <f t="shared" si="1"/>
        <v>93.899460883287375</v>
      </c>
      <c r="H39" s="1360">
        <f t="shared" si="2"/>
        <v>42</v>
      </c>
      <c r="I39" s="1361">
        <v>1</v>
      </c>
      <c r="J39" s="1362">
        <v>15</v>
      </c>
      <c r="K39" s="1362">
        <f t="shared" si="3"/>
        <v>39</v>
      </c>
      <c r="L39" s="1362">
        <v>21</v>
      </c>
      <c r="M39" s="1362">
        <f t="shared" si="4"/>
        <v>30</v>
      </c>
      <c r="N39" s="1362">
        <v>67</v>
      </c>
      <c r="O39" s="1363">
        <f t="shared" si="5"/>
        <v>33</v>
      </c>
      <c r="P39" s="1361">
        <f t="shared" si="6"/>
        <v>104</v>
      </c>
      <c r="Q39" s="1360">
        <f t="shared" si="7"/>
        <v>42</v>
      </c>
    </row>
    <row r="40" spans="1:17" ht="34" customHeight="1">
      <c r="A40" s="1353" t="s">
        <v>272</v>
      </c>
      <c r="B40" s="1354">
        <v>714751</v>
      </c>
      <c r="C40" s="1355">
        <v>656590</v>
      </c>
      <c r="D40" s="1356">
        <v>23387</v>
      </c>
      <c r="E40" s="1357">
        <v>13217</v>
      </c>
      <c r="F40" s="1358">
        <f t="shared" si="0"/>
        <v>693194</v>
      </c>
      <c r="G40" s="1359">
        <f t="shared" si="1"/>
        <v>96.983984632410454</v>
      </c>
      <c r="H40" s="1360">
        <f t="shared" si="2"/>
        <v>30</v>
      </c>
      <c r="I40" s="1361">
        <v>0</v>
      </c>
      <c r="J40" s="1362">
        <v>18</v>
      </c>
      <c r="K40" s="1362">
        <f t="shared" si="3"/>
        <v>35</v>
      </c>
      <c r="L40" s="1362">
        <v>38</v>
      </c>
      <c r="M40" s="1362">
        <f t="shared" si="4"/>
        <v>24</v>
      </c>
      <c r="N40" s="1362">
        <v>53</v>
      </c>
      <c r="O40" s="1363">
        <f t="shared" si="5"/>
        <v>37</v>
      </c>
      <c r="P40" s="1361">
        <f t="shared" si="6"/>
        <v>109</v>
      </c>
      <c r="Q40" s="1360">
        <f t="shared" si="7"/>
        <v>39</v>
      </c>
    </row>
    <row r="41" spans="1:17" ht="34" customHeight="1">
      <c r="A41" s="1353" t="s">
        <v>273</v>
      </c>
      <c r="B41" s="1354">
        <v>945557</v>
      </c>
      <c r="C41" s="1355">
        <v>938275</v>
      </c>
      <c r="D41" s="1356">
        <v>3044</v>
      </c>
      <c r="E41" s="1357">
        <v>5</v>
      </c>
      <c r="F41" s="1358">
        <f t="shared" si="0"/>
        <v>941324</v>
      </c>
      <c r="G41" s="1359">
        <f t="shared" si="1"/>
        <v>99.552327358371841</v>
      </c>
      <c r="H41" s="1360">
        <f t="shared" si="2"/>
        <v>11</v>
      </c>
      <c r="I41" s="1361">
        <v>0</v>
      </c>
      <c r="J41" s="1362">
        <v>1</v>
      </c>
      <c r="K41" s="1362">
        <f t="shared" si="3"/>
        <v>47</v>
      </c>
      <c r="L41" s="1362">
        <v>1</v>
      </c>
      <c r="M41" s="1362">
        <f t="shared" si="4"/>
        <v>46</v>
      </c>
      <c r="N41" s="1362">
        <v>38</v>
      </c>
      <c r="O41" s="1363">
        <f t="shared" si="5"/>
        <v>40</v>
      </c>
      <c r="P41" s="1361">
        <f t="shared" si="6"/>
        <v>40</v>
      </c>
      <c r="Q41" s="1360">
        <f t="shared" si="7"/>
        <v>47</v>
      </c>
    </row>
    <row r="42" spans="1:17" ht="34" customHeight="1">
      <c r="A42" s="1353" t="s">
        <v>274</v>
      </c>
      <c r="B42" s="1354">
        <v>1350436</v>
      </c>
      <c r="C42" s="1355">
        <v>1215137</v>
      </c>
      <c r="D42" s="1356">
        <v>25629</v>
      </c>
      <c r="E42" s="1357">
        <v>20288</v>
      </c>
      <c r="F42" s="1358">
        <f t="shared" si="0"/>
        <v>1261054</v>
      </c>
      <c r="G42" s="1359">
        <f t="shared" si="1"/>
        <v>93.381248722634766</v>
      </c>
      <c r="H42" s="1360">
        <f t="shared" si="2"/>
        <v>44</v>
      </c>
      <c r="I42" s="1361">
        <v>2</v>
      </c>
      <c r="J42" s="1362">
        <v>29</v>
      </c>
      <c r="K42" s="1362">
        <f t="shared" si="3"/>
        <v>15</v>
      </c>
      <c r="L42" s="1362">
        <v>74</v>
      </c>
      <c r="M42" s="1362">
        <f t="shared" si="4"/>
        <v>15</v>
      </c>
      <c r="N42" s="1362">
        <v>143</v>
      </c>
      <c r="O42" s="1363">
        <f t="shared" si="5"/>
        <v>21</v>
      </c>
      <c r="P42" s="1361">
        <f t="shared" si="6"/>
        <v>248</v>
      </c>
      <c r="Q42" s="1360">
        <f t="shared" si="7"/>
        <v>18</v>
      </c>
    </row>
    <row r="43" spans="1:17" ht="34" customHeight="1">
      <c r="A43" s="1353" t="s">
        <v>275</v>
      </c>
      <c r="B43" s="1354">
        <v>684542</v>
      </c>
      <c r="C43" s="1355">
        <v>574651</v>
      </c>
      <c r="D43" s="1356">
        <v>68306</v>
      </c>
      <c r="E43" s="1357">
        <v>5151</v>
      </c>
      <c r="F43" s="1358">
        <f t="shared" si="0"/>
        <v>648108</v>
      </c>
      <c r="G43" s="1359">
        <f t="shared" si="1"/>
        <v>94.677609262835588</v>
      </c>
      <c r="H43" s="1360">
        <f t="shared" si="2"/>
        <v>39</v>
      </c>
      <c r="I43" s="1361">
        <v>0</v>
      </c>
      <c r="J43" s="1362">
        <v>15</v>
      </c>
      <c r="K43" s="1362">
        <f t="shared" si="3"/>
        <v>39</v>
      </c>
      <c r="L43" s="1362">
        <v>53</v>
      </c>
      <c r="M43" s="1362">
        <f t="shared" si="4"/>
        <v>18</v>
      </c>
      <c r="N43" s="1362">
        <v>38</v>
      </c>
      <c r="O43" s="1363">
        <f t="shared" si="5"/>
        <v>40</v>
      </c>
      <c r="P43" s="1361">
        <f t="shared" si="6"/>
        <v>106</v>
      </c>
      <c r="Q43" s="1360">
        <f t="shared" si="7"/>
        <v>41</v>
      </c>
    </row>
    <row r="44" spans="1:17" ht="34" customHeight="1">
      <c r="A44" s="1353" t="s">
        <v>276</v>
      </c>
      <c r="B44" s="1354">
        <v>5128102</v>
      </c>
      <c r="C44" s="1355">
        <v>4802588</v>
      </c>
      <c r="D44" s="1356">
        <v>13732</v>
      </c>
      <c r="E44" s="1357">
        <v>53595</v>
      </c>
      <c r="F44" s="1358">
        <f t="shared" si="0"/>
        <v>4869915</v>
      </c>
      <c r="G44" s="1359">
        <f t="shared" si="1"/>
        <v>94.965252251222779</v>
      </c>
      <c r="H44" s="1360">
        <f t="shared" si="2"/>
        <v>37</v>
      </c>
      <c r="I44" s="1361">
        <v>6</v>
      </c>
      <c r="J44" s="1362">
        <v>50</v>
      </c>
      <c r="K44" s="1362">
        <f t="shared" si="3"/>
        <v>4</v>
      </c>
      <c r="L44" s="1362">
        <v>17</v>
      </c>
      <c r="M44" s="1362">
        <f t="shared" si="4"/>
        <v>31</v>
      </c>
      <c r="N44" s="1362">
        <v>444</v>
      </c>
      <c r="O44" s="1363">
        <f t="shared" si="5"/>
        <v>4</v>
      </c>
      <c r="P44" s="1361">
        <f t="shared" si="6"/>
        <v>517</v>
      </c>
      <c r="Q44" s="1360">
        <f t="shared" si="7"/>
        <v>5</v>
      </c>
    </row>
    <row r="45" spans="1:17" ht="34" customHeight="1">
      <c r="A45" s="1353" t="s">
        <v>277</v>
      </c>
      <c r="B45" s="1354">
        <v>815237</v>
      </c>
      <c r="C45" s="1355">
        <v>766980</v>
      </c>
      <c r="D45" s="1356">
        <v>9063</v>
      </c>
      <c r="E45" s="1357">
        <v>1664</v>
      </c>
      <c r="F45" s="1358">
        <f t="shared" si="0"/>
        <v>777707</v>
      </c>
      <c r="G45" s="1359">
        <f t="shared" si="1"/>
        <v>95.396430731186143</v>
      </c>
      <c r="H45" s="1360">
        <f t="shared" si="2"/>
        <v>34</v>
      </c>
      <c r="I45" s="1361">
        <v>2</v>
      </c>
      <c r="J45" s="1362">
        <v>11</v>
      </c>
      <c r="K45" s="1362">
        <f t="shared" si="3"/>
        <v>45</v>
      </c>
      <c r="L45" s="1362">
        <v>41</v>
      </c>
      <c r="M45" s="1362">
        <f t="shared" si="4"/>
        <v>23</v>
      </c>
      <c r="N45" s="1362">
        <v>78</v>
      </c>
      <c r="O45" s="1363">
        <f t="shared" si="5"/>
        <v>29</v>
      </c>
      <c r="P45" s="1361">
        <f t="shared" si="6"/>
        <v>132</v>
      </c>
      <c r="Q45" s="1360">
        <f t="shared" si="7"/>
        <v>35</v>
      </c>
    </row>
    <row r="46" spans="1:17" ht="34" customHeight="1">
      <c r="A46" s="1353" t="s">
        <v>278</v>
      </c>
      <c r="B46" s="1354">
        <v>1299257</v>
      </c>
      <c r="C46" s="1355">
        <v>1239844</v>
      </c>
      <c r="D46" s="1356">
        <v>32049</v>
      </c>
      <c r="E46" s="1357">
        <v>12625</v>
      </c>
      <c r="F46" s="1358">
        <f t="shared" si="0"/>
        <v>1284518</v>
      </c>
      <c r="G46" s="1359">
        <f t="shared" si="1"/>
        <v>98.865582405944323</v>
      </c>
      <c r="H46" s="1360">
        <f t="shared" si="2"/>
        <v>20</v>
      </c>
      <c r="I46" s="1361">
        <v>0</v>
      </c>
      <c r="J46" s="1362">
        <v>22</v>
      </c>
      <c r="K46" s="1362">
        <f t="shared" si="3"/>
        <v>27</v>
      </c>
      <c r="L46" s="1362">
        <v>47</v>
      </c>
      <c r="M46" s="1362">
        <f t="shared" si="4"/>
        <v>21</v>
      </c>
      <c r="N46" s="1362">
        <v>151</v>
      </c>
      <c r="O46" s="1363">
        <f t="shared" si="5"/>
        <v>20</v>
      </c>
      <c r="P46" s="1361">
        <f t="shared" si="6"/>
        <v>220</v>
      </c>
      <c r="Q46" s="1360">
        <f t="shared" si="7"/>
        <v>23</v>
      </c>
    </row>
    <row r="47" spans="1:17" ht="34" customHeight="1">
      <c r="A47" s="1353" t="s">
        <v>279</v>
      </c>
      <c r="B47" s="1354">
        <v>1728540</v>
      </c>
      <c r="C47" s="1355">
        <v>1443761</v>
      </c>
      <c r="D47" s="1356">
        <v>76249</v>
      </c>
      <c r="E47" s="1357">
        <v>15373</v>
      </c>
      <c r="F47" s="1358">
        <f t="shared" si="0"/>
        <v>1535383</v>
      </c>
      <c r="G47" s="1359">
        <f t="shared" si="1"/>
        <v>88.825424925081293</v>
      </c>
      <c r="H47" s="1360">
        <f t="shared" si="2"/>
        <v>47</v>
      </c>
      <c r="I47" s="1361">
        <v>1</v>
      </c>
      <c r="J47" s="1362">
        <v>29</v>
      </c>
      <c r="K47" s="1362">
        <f t="shared" si="3"/>
        <v>15</v>
      </c>
      <c r="L47" s="1362">
        <v>122</v>
      </c>
      <c r="M47" s="1362">
        <f t="shared" si="4"/>
        <v>6</v>
      </c>
      <c r="N47" s="1362">
        <v>254</v>
      </c>
      <c r="O47" s="1363">
        <f t="shared" si="5"/>
        <v>11</v>
      </c>
      <c r="P47" s="1361">
        <f t="shared" si="6"/>
        <v>406</v>
      </c>
      <c r="Q47" s="1360">
        <f t="shared" si="7"/>
        <v>8</v>
      </c>
    </row>
    <row r="48" spans="1:17" ht="34" customHeight="1">
      <c r="A48" s="1353" t="s">
        <v>280</v>
      </c>
      <c r="B48" s="1354">
        <v>1117979</v>
      </c>
      <c r="C48" s="1355">
        <v>1000318</v>
      </c>
      <c r="D48" s="1356">
        <v>16846</v>
      </c>
      <c r="E48" s="1357">
        <v>8059</v>
      </c>
      <c r="F48" s="1358">
        <f t="shared" si="0"/>
        <v>1025223</v>
      </c>
      <c r="G48" s="1359">
        <f t="shared" si="1"/>
        <v>91.703243084172428</v>
      </c>
      <c r="H48" s="1360">
        <f t="shared" si="2"/>
        <v>46</v>
      </c>
      <c r="I48" s="1361">
        <v>1</v>
      </c>
      <c r="J48" s="1362">
        <v>17</v>
      </c>
      <c r="K48" s="1362">
        <f t="shared" si="3"/>
        <v>37</v>
      </c>
      <c r="L48" s="1362">
        <v>51</v>
      </c>
      <c r="M48" s="1362">
        <f t="shared" si="4"/>
        <v>19</v>
      </c>
      <c r="N48" s="1362">
        <v>191</v>
      </c>
      <c r="O48" s="1363">
        <f t="shared" si="5"/>
        <v>14</v>
      </c>
      <c r="P48" s="1361">
        <f t="shared" si="6"/>
        <v>260</v>
      </c>
      <c r="Q48" s="1360">
        <f t="shared" si="7"/>
        <v>16</v>
      </c>
    </row>
    <row r="49" spans="1:17" ht="34" customHeight="1">
      <c r="A49" s="1353" t="s">
        <v>281</v>
      </c>
      <c r="B49" s="1354">
        <v>1064666</v>
      </c>
      <c r="C49" s="1355">
        <v>1003265</v>
      </c>
      <c r="D49" s="1356">
        <v>33346</v>
      </c>
      <c r="E49" s="1357">
        <v>1715</v>
      </c>
      <c r="F49" s="1358">
        <f t="shared" si="0"/>
        <v>1038326</v>
      </c>
      <c r="G49" s="1359">
        <f t="shared" si="1"/>
        <v>97.525984675006058</v>
      </c>
      <c r="H49" s="1360">
        <f t="shared" si="2"/>
        <v>28</v>
      </c>
      <c r="I49" s="1361">
        <v>0</v>
      </c>
      <c r="J49" s="1362">
        <v>20</v>
      </c>
      <c r="K49" s="1362">
        <f t="shared" si="3"/>
        <v>31</v>
      </c>
      <c r="L49" s="1362">
        <v>75</v>
      </c>
      <c r="M49" s="1362">
        <f t="shared" si="4"/>
        <v>14</v>
      </c>
      <c r="N49" s="1362">
        <v>45</v>
      </c>
      <c r="O49" s="1363">
        <f t="shared" si="5"/>
        <v>39</v>
      </c>
      <c r="P49" s="1361">
        <f t="shared" si="6"/>
        <v>140</v>
      </c>
      <c r="Q49" s="1360">
        <f t="shared" si="7"/>
        <v>33</v>
      </c>
    </row>
    <row r="50" spans="1:17" ht="34" customHeight="1">
      <c r="A50" s="1353" t="s">
        <v>282</v>
      </c>
      <c r="B50" s="1354">
        <v>1608161</v>
      </c>
      <c r="C50" s="1355">
        <v>1505361</v>
      </c>
      <c r="D50" s="1356">
        <v>50846</v>
      </c>
      <c r="E50" s="1357">
        <v>15184</v>
      </c>
      <c r="F50" s="1358">
        <f t="shared" si="0"/>
        <v>1571391</v>
      </c>
      <c r="G50" s="1359">
        <f t="shared" si="1"/>
        <v>97.713537388358503</v>
      </c>
      <c r="H50" s="1360">
        <f t="shared" si="2"/>
        <v>26</v>
      </c>
      <c r="I50" s="1361">
        <v>0</v>
      </c>
      <c r="J50" s="1362">
        <v>39</v>
      </c>
      <c r="K50" s="1362">
        <f t="shared" si="3"/>
        <v>10</v>
      </c>
      <c r="L50" s="1362">
        <v>85</v>
      </c>
      <c r="M50" s="1362">
        <f t="shared" si="4"/>
        <v>12</v>
      </c>
      <c r="N50" s="1362">
        <v>110</v>
      </c>
      <c r="O50" s="1363">
        <f t="shared" si="5"/>
        <v>25</v>
      </c>
      <c r="P50" s="1361">
        <f t="shared" si="6"/>
        <v>234</v>
      </c>
      <c r="Q50" s="1360">
        <f t="shared" si="7"/>
        <v>20</v>
      </c>
    </row>
    <row r="51" spans="1:17" ht="34" customHeight="1" thickBot="1">
      <c r="A51" s="1377" t="s">
        <v>283</v>
      </c>
      <c r="B51" s="1378">
        <v>1455425</v>
      </c>
      <c r="C51" s="1379">
        <v>1431139</v>
      </c>
      <c r="D51" s="1380">
        <v>23970</v>
      </c>
      <c r="E51" s="1381">
        <v>0</v>
      </c>
      <c r="F51" s="1382">
        <f t="shared" si="0"/>
        <v>1455109</v>
      </c>
      <c r="G51" s="1383">
        <f t="shared" si="1"/>
        <v>99.978288128897049</v>
      </c>
      <c r="H51" s="1384">
        <f t="shared" si="2"/>
        <v>3</v>
      </c>
      <c r="I51" s="1385">
        <v>1</v>
      </c>
      <c r="J51" s="1386">
        <v>26</v>
      </c>
      <c r="K51" s="1386">
        <f t="shared" si="3"/>
        <v>21</v>
      </c>
      <c r="L51" s="1386">
        <v>16</v>
      </c>
      <c r="M51" s="1386">
        <f t="shared" si="4"/>
        <v>32</v>
      </c>
      <c r="N51" s="1386">
        <v>31</v>
      </c>
      <c r="O51" s="1387">
        <f t="shared" si="5"/>
        <v>44</v>
      </c>
      <c r="P51" s="1385">
        <f t="shared" si="6"/>
        <v>74</v>
      </c>
      <c r="Q51" s="1384">
        <f t="shared" si="7"/>
        <v>45</v>
      </c>
    </row>
    <row r="52" spans="1:17" ht="34" customHeight="1" thickTop="1">
      <c r="A52" s="1388" t="s">
        <v>101</v>
      </c>
      <c r="B52" s="1389">
        <f>SUM(B5:B51)</f>
        <v>125773794</v>
      </c>
      <c r="C52" s="1390">
        <f t="shared" ref="C52:F52" si="8">SUM(C5:C51)</f>
        <v>121283648</v>
      </c>
      <c r="D52" s="1391">
        <f t="shared" si="8"/>
        <v>1741454</v>
      </c>
      <c r="E52" s="1391">
        <f t="shared" si="8"/>
        <v>368367</v>
      </c>
      <c r="F52" s="1392">
        <f t="shared" si="8"/>
        <v>123393469</v>
      </c>
      <c r="G52" s="1393">
        <f t="shared" si="1"/>
        <v>98.107455516528347</v>
      </c>
      <c r="H52" s="1394"/>
      <c r="I52" s="1395">
        <f t="shared" ref="I52:J52" si="9">SUM(I5:I51)</f>
        <v>88</v>
      </c>
      <c r="J52" s="1396">
        <f t="shared" si="9"/>
        <v>1312</v>
      </c>
      <c r="K52" s="1396"/>
      <c r="L52" s="1396">
        <f t="shared" ref="L52" si="10">SUM(L5:L51)</f>
        <v>2507</v>
      </c>
      <c r="M52" s="1396"/>
      <c r="N52" s="1396">
        <f t="shared" ref="N52" si="11">SUM(N5:N51)</f>
        <v>8228</v>
      </c>
      <c r="O52" s="1397"/>
      <c r="P52" s="1395">
        <f t="shared" ref="P52" si="12">SUM(P5:P51)</f>
        <v>12135</v>
      </c>
      <c r="Q52" s="1398"/>
    </row>
    <row r="53" spans="1:17" ht="34" customHeight="1">
      <c r="A53" s="1399" t="s">
        <v>2280</v>
      </c>
      <c r="B53" s="1400">
        <v>126177644</v>
      </c>
      <c r="C53" s="1401">
        <v>121351209</v>
      </c>
      <c r="D53" s="1402">
        <v>2053193</v>
      </c>
      <c r="E53" s="1402">
        <v>368472</v>
      </c>
      <c r="F53" s="1403">
        <v>123772874</v>
      </c>
      <c r="G53" s="1404">
        <v>98.094139402380975</v>
      </c>
      <c r="H53" s="1405"/>
      <c r="I53" s="1406">
        <v>91</v>
      </c>
      <c r="J53" s="1407">
        <v>1321</v>
      </c>
      <c r="K53" s="1407"/>
      <c r="L53" s="1407">
        <v>3027</v>
      </c>
      <c r="M53" s="1407"/>
      <c r="N53" s="1407">
        <v>8214</v>
      </c>
      <c r="O53" s="1408"/>
      <c r="P53" s="1406">
        <v>12653</v>
      </c>
      <c r="Q53" s="1409"/>
    </row>
  </sheetData>
  <autoFilter ref="A4:Q4" xr:uid="{00000000-0009-0000-0000-000000000000}"/>
  <mergeCells count="5">
    <mergeCell ref="A3:A4"/>
    <mergeCell ref="B3:B4"/>
    <mergeCell ref="C3:F3"/>
    <mergeCell ref="G3:H3"/>
    <mergeCell ref="I3:Q3"/>
  </mergeCells>
  <phoneticPr fontId="6"/>
  <printOptions horizontalCentered="1" gridLinesSet="0"/>
  <pageMargins left="0.98425196850393704" right="0.39370078740157483" top="0.59055118110236227" bottom="0.59055118110236227" header="0.39370078740157483" footer="0.51181102362204722"/>
  <pageSetup paperSize="9" scale="4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DDC00-3B34-44CF-9C4D-61E94C0EFA41}">
  <dimension ref="A1:AB45"/>
  <sheetViews>
    <sheetView showGridLines="0" view="pageBreakPreview" zoomScale="76" zoomScaleNormal="50" zoomScaleSheetLayoutView="76" workbookViewId="0">
      <pane xSplit="2" ySplit="8" topLeftCell="C9" activePane="bottomRight" state="frozen"/>
      <selection pane="topRight" activeCell="C1" sqref="C1"/>
      <selection pane="bottomLeft" activeCell="A9" sqref="A9"/>
      <selection pane="bottomRight"/>
    </sheetView>
  </sheetViews>
  <sheetFormatPr defaultColWidth="13.453125" defaultRowHeight="23.15" customHeight="1"/>
  <cols>
    <col min="1" max="1" width="9.453125" style="1551" customWidth="1"/>
    <col min="2" max="2" width="12.7265625" style="1411" customWidth="1"/>
    <col min="3" max="4" width="5.36328125" style="1411" customWidth="1"/>
    <col min="5" max="6" width="11.1796875" style="1411" customWidth="1"/>
    <col min="7" max="8" width="5.36328125" style="1411" customWidth="1"/>
    <col min="9" max="10" width="11.1796875" style="1411" customWidth="1"/>
    <col min="11" max="11" width="7.26953125" style="1411" customWidth="1"/>
    <col min="12" max="13" width="9.1796875" style="1411" customWidth="1"/>
    <col min="14" max="14" width="7.26953125" style="1411" customWidth="1"/>
    <col min="15" max="16" width="9.1796875" style="1411" customWidth="1"/>
    <col min="17" max="17" width="5" style="1411" customWidth="1"/>
    <col min="18" max="18" width="6" style="1411" customWidth="1"/>
    <col min="19" max="19" width="11.54296875" style="1411" customWidth="1"/>
    <col min="20" max="20" width="11.08984375" style="1411" bestFit="1" customWidth="1"/>
    <col min="21" max="21" width="9.81640625" style="1411" customWidth="1"/>
    <col min="22" max="22" width="0.6328125" style="1411" customWidth="1"/>
    <col min="23" max="23" width="6.6328125" style="1411" customWidth="1"/>
    <col min="24" max="25" width="8.81640625" style="1411" customWidth="1"/>
    <col min="26" max="26" width="6.6328125" style="1411" customWidth="1"/>
    <col min="27" max="28" width="8.81640625" style="1411" customWidth="1"/>
    <col min="29" max="16384" width="13.453125" style="1412"/>
  </cols>
  <sheetData>
    <row r="1" spans="1:28" ht="29.25" customHeight="1">
      <c r="A1" s="1410" t="s">
        <v>284</v>
      </c>
    </row>
    <row r="2" spans="1:28" ht="7.5" customHeight="1">
      <c r="A2" s="1410"/>
    </row>
    <row r="3" spans="1:28" s="1422" customFormat="1" ht="21.75" customHeight="1">
      <c r="A3" s="1413" t="s">
        <v>285</v>
      </c>
      <c r="B3" s="1413" t="s">
        <v>286</v>
      </c>
      <c r="C3" s="1414" t="s">
        <v>287</v>
      </c>
      <c r="D3" s="1415"/>
      <c r="E3" s="1415"/>
      <c r="F3" s="1416"/>
      <c r="G3" s="1414" t="s">
        <v>288</v>
      </c>
      <c r="H3" s="1415"/>
      <c r="I3" s="1415"/>
      <c r="J3" s="1416"/>
      <c r="K3" s="1417" t="s">
        <v>289</v>
      </c>
      <c r="L3" s="1418"/>
      <c r="M3" s="1419"/>
      <c r="N3" s="1417" t="s">
        <v>289</v>
      </c>
      <c r="O3" s="1418"/>
      <c r="P3" s="1419"/>
      <c r="Q3" s="1414" t="s">
        <v>290</v>
      </c>
      <c r="R3" s="1415"/>
      <c r="S3" s="1415"/>
      <c r="T3" s="1416"/>
      <c r="U3" s="1420" t="s">
        <v>291</v>
      </c>
      <c r="V3" s="1421"/>
      <c r="W3" s="1417" t="s">
        <v>292</v>
      </c>
      <c r="X3" s="1418"/>
      <c r="Y3" s="1418"/>
      <c r="Z3" s="1418"/>
      <c r="AA3" s="1418"/>
      <c r="AB3" s="1419"/>
    </row>
    <row r="4" spans="1:28" s="1422" customFormat="1" ht="21.75" customHeight="1">
      <c r="A4" s="1423"/>
      <c r="B4" s="1424"/>
      <c r="C4" s="1425"/>
      <c r="D4" s="1426"/>
      <c r="E4" s="1426"/>
      <c r="F4" s="1427"/>
      <c r="G4" s="1425"/>
      <c r="H4" s="1426"/>
      <c r="I4" s="1426"/>
      <c r="J4" s="1427"/>
      <c r="K4" s="1417" t="s">
        <v>293</v>
      </c>
      <c r="L4" s="1418"/>
      <c r="M4" s="1419"/>
      <c r="N4" s="1417" t="s">
        <v>294</v>
      </c>
      <c r="O4" s="1418"/>
      <c r="P4" s="1419"/>
      <c r="Q4" s="1425"/>
      <c r="R4" s="1426"/>
      <c r="S4" s="1426"/>
      <c r="T4" s="1427"/>
      <c r="U4" s="1423"/>
      <c r="V4" s="1421"/>
      <c r="W4" s="1417" t="s">
        <v>295</v>
      </c>
      <c r="X4" s="1418"/>
      <c r="Y4" s="1419"/>
      <c r="Z4" s="1417" t="s">
        <v>296</v>
      </c>
      <c r="AA4" s="1418"/>
      <c r="AB4" s="1419"/>
    </row>
    <row r="5" spans="1:28" s="1422" customFormat="1" ht="21.75" customHeight="1">
      <c r="A5" s="1423"/>
      <c r="B5" s="1424"/>
      <c r="C5" s="1428" t="s">
        <v>297</v>
      </c>
      <c r="D5" s="1429"/>
      <c r="E5" s="1430" t="s">
        <v>298</v>
      </c>
      <c r="F5" s="1431" t="s">
        <v>299</v>
      </c>
      <c r="G5" s="1428" t="s">
        <v>297</v>
      </c>
      <c r="H5" s="1429"/>
      <c r="I5" s="1430" t="s">
        <v>298</v>
      </c>
      <c r="J5" s="1431" t="s">
        <v>299</v>
      </c>
      <c r="K5" s="1432" t="s">
        <v>300</v>
      </c>
      <c r="L5" s="1433" t="s">
        <v>301</v>
      </c>
      <c r="M5" s="1434" t="s">
        <v>302</v>
      </c>
      <c r="N5" s="1432" t="s">
        <v>300</v>
      </c>
      <c r="O5" s="1433" t="s">
        <v>301</v>
      </c>
      <c r="P5" s="1435" t="s">
        <v>302</v>
      </c>
      <c r="Q5" s="1436" t="s">
        <v>303</v>
      </c>
      <c r="R5" s="1437"/>
      <c r="S5" s="1430" t="s">
        <v>298</v>
      </c>
      <c r="T5" s="1431" t="s">
        <v>299</v>
      </c>
      <c r="U5" s="1423"/>
      <c r="V5" s="1421"/>
      <c r="W5" s="1438" t="s">
        <v>304</v>
      </c>
      <c r="X5" s="1439" t="s">
        <v>298</v>
      </c>
      <c r="Y5" s="1440" t="s">
        <v>299</v>
      </c>
      <c r="Z5" s="1438" t="s">
        <v>304</v>
      </c>
      <c r="AA5" s="1439" t="s">
        <v>298</v>
      </c>
      <c r="AB5" s="1440" t="s">
        <v>299</v>
      </c>
    </row>
    <row r="6" spans="1:28" s="1422" customFormat="1" ht="21.75" customHeight="1">
      <c r="A6" s="1423"/>
      <c r="B6" s="1424"/>
      <c r="C6" s="1441"/>
      <c r="D6" s="1442"/>
      <c r="E6" s="1442"/>
      <c r="F6" s="1443"/>
      <c r="G6" s="1441"/>
      <c r="H6" s="1442"/>
      <c r="I6" s="1442"/>
      <c r="J6" s="1443"/>
      <c r="K6" s="1444"/>
      <c r="L6" s="1445"/>
      <c r="M6" s="1446"/>
      <c r="N6" s="1444"/>
      <c r="O6" s="1445"/>
      <c r="P6" s="1447"/>
      <c r="Q6" s="1448"/>
      <c r="R6" s="1449"/>
      <c r="S6" s="1442"/>
      <c r="T6" s="1443"/>
      <c r="U6" s="1423"/>
      <c r="V6" s="1421"/>
      <c r="W6" s="1444"/>
      <c r="X6" s="1450"/>
      <c r="Y6" s="1451"/>
      <c r="Z6" s="1444"/>
      <c r="AA6" s="1450"/>
      <c r="AB6" s="1451"/>
    </row>
    <row r="7" spans="1:28" s="1422" customFormat="1" ht="17.25" customHeight="1">
      <c r="A7" s="1452"/>
      <c r="B7" s="1453" t="s">
        <v>305</v>
      </c>
      <c r="C7" s="1454" t="s">
        <v>306</v>
      </c>
      <c r="D7" s="1455"/>
      <c r="E7" s="1456" t="s">
        <v>307</v>
      </c>
      <c r="F7" s="1457" t="s">
        <v>308</v>
      </c>
      <c r="G7" s="1454" t="s">
        <v>309</v>
      </c>
      <c r="H7" s="1455"/>
      <c r="I7" s="1456" t="s">
        <v>310</v>
      </c>
      <c r="J7" s="1457" t="s">
        <v>311</v>
      </c>
      <c r="K7" s="1458" t="s">
        <v>312</v>
      </c>
      <c r="L7" s="1456" t="s">
        <v>313</v>
      </c>
      <c r="M7" s="1457" t="s">
        <v>314</v>
      </c>
      <c r="N7" s="1458" t="s">
        <v>315</v>
      </c>
      <c r="O7" s="1456" t="s">
        <v>316</v>
      </c>
      <c r="P7" s="1457" t="s">
        <v>317</v>
      </c>
      <c r="Q7" s="1459" t="s">
        <v>318</v>
      </c>
      <c r="R7" s="1460"/>
      <c r="S7" s="1456" t="s">
        <v>319</v>
      </c>
      <c r="T7" s="1457" t="s">
        <v>320</v>
      </c>
      <c r="U7" s="1461" t="s">
        <v>321</v>
      </c>
      <c r="V7" s="1421"/>
      <c r="W7" s="1458"/>
      <c r="X7" s="1456"/>
      <c r="Y7" s="1457"/>
      <c r="Z7" s="1458"/>
      <c r="AA7" s="1456"/>
      <c r="AB7" s="1457"/>
    </row>
    <row r="8" spans="1:28" s="1422" customFormat="1" ht="17.25" customHeight="1">
      <c r="A8" s="1462"/>
      <c r="B8" s="1463" t="s">
        <v>322</v>
      </c>
      <c r="C8" s="1464"/>
      <c r="D8" s="1465" t="s">
        <v>323</v>
      </c>
      <c r="E8" s="1466" t="s">
        <v>322</v>
      </c>
      <c r="F8" s="1467" t="s">
        <v>322</v>
      </c>
      <c r="G8" s="1468"/>
      <c r="H8" s="1465" t="s">
        <v>323</v>
      </c>
      <c r="I8" s="1466" t="s">
        <v>322</v>
      </c>
      <c r="J8" s="1467" t="s">
        <v>322</v>
      </c>
      <c r="K8" s="1469" t="s">
        <v>323</v>
      </c>
      <c r="L8" s="1466" t="s">
        <v>322</v>
      </c>
      <c r="M8" s="1467" t="s">
        <v>322</v>
      </c>
      <c r="N8" s="1469" t="s">
        <v>323</v>
      </c>
      <c r="O8" s="1466" t="s">
        <v>322</v>
      </c>
      <c r="P8" s="1467" t="s">
        <v>322</v>
      </c>
      <c r="Q8" s="1468" t="s">
        <v>324</v>
      </c>
      <c r="R8" s="1465" t="s">
        <v>325</v>
      </c>
      <c r="S8" s="1466" t="s">
        <v>322</v>
      </c>
      <c r="T8" s="1470" t="s">
        <v>326</v>
      </c>
      <c r="U8" s="1471" t="s">
        <v>327</v>
      </c>
      <c r="V8" s="1421"/>
      <c r="W8" s="1469" t="s">
        <v>323</v>
      </c>
      <c r="X8" s="1466" t="s">
        <v>322</v>
      </c>
      <c r="Y8" s="1467" t="s">
        <v>322</v>
      </c>
      <c r="Z8" s="1469" t="s">
        <v>323</v>
      </c>
      <c r="AA8" s="1466" t="s">
        <v>322</v>
      </c>
      <c r="AB8" s="1467" t="s">
        <v>322</v>
      </c>
    </row>
    <row r="9" spans="1:28" ht="22.5" customHeight="1">
      <c r="A9" s="1472"/>
      <c r="B9" s="1473"/>
      <c r="C9" s="1474">
        <v>10</v>
      </c>
      <c r="D9" s="1475">
        <v>4</v>
      </c>
      <c r="E9" s="1476">
        <v>203733</v>
      </c>
      <c r="F9" s="1477">
        <v>190646</v>
      </c>
      <c r="G9" s="1474">
        <v>11</v>
      </c>
      <c r="H9" s="1475">
        <v>0</v>
      </c>
      <c r="I9" s="1476">
        <v>13170</v>
      </c>
      <c r="J9" s="1477">
        <v>10475</v>
      </c>
      <c r="K9" s="1478">
        <v>3</v>
      </c>
      <c r="L9" s="1476">
        <v>924</v>
      </c>
      <c r="M9" s="1477">
        <v>92</v>
      </c>
      <c r="N9" s="1478">
        <v>0</v>
      </c>
      <c r="O9" s="1476">
        <v>0</v>
      </c>
      <c r="P9" s="1477">
        <v>0</v>
      </c>
      <c r="Q9" s="1479"/>
      <c r="R9" s="1480"/>
      <c r="S9" s="1481"/>
      <c r="T9" s="1482"/>
      <c r="U9" s="1483"/>
      <c r="V9" s="1473" t="e">
        <v>#REF!</v>
      </c>
      <c r="W9" s="1478">
        <v>5</v>
      </c>
      <c r="X9" s="1476">
        <v>360</v>
      </c>
      <c r="Y9" s="1477">
        <v>104</v>
      </c>
      <c r="Z9" s="1478">
        <v>5</v>
      </c>
      <c r="AA9" s="1476">
        <v>129</v>
      </c>
      <c r="AB9" s="1477">
        <v>58</v>
      </c>
    </row>
    <row r="10" spans="1:28" ht="23.15" customHeight="1">
      <c r="A10" s="1472" t="s">
        <v>328</v>
      </c>
      <c r="B10" s="1473">
        <v>203726</v>
      </c>
      <c r="C10" s="1484">
        <v>1</v>
      </c>
      <c r="D10" s="1485">
        <v>0</v>
      </c>
      <c r="E10" s="1486">
        <v>6860</v>
      </c>
      <c r="F10" s="1487">
        <v>25</v>
      </c>
      <c r="G10" s="1484">
        <v>14</v>
      </c>
      <c r="H10" s="1485">
        <v>0</v>
      </c>
      <c r="I10" s="1486">
        <v>10153</v>
      </c>
      <c r="J10" s="1487">
        <v>1201</v>
      </c>
      <c r="K10" s="1488">
        <v>9</v>
      </c>
      <c r="L10" s="1486">
        <v>92738</v>
      </c>
      <c r="M10" s="1487">
        <v>528</v>
      </c>
      <c r="N10" s="1488">
        <v>5</v>
      </c>
      <c r="O10" s="1486">
        <v>4250</v>
      </c>
      <c r="P10" s="1487">
        <v>52</v>
      </c>
      <c r="Q10" s="1479">
        <f>+C11+G11+K11+N11</f>
        <v>53</v>
      </c>
      <c r="R10" s="1489">
        <f>+D11+H11</f>
        <v>4</v>
      </c>
      <c r="S10" s="1481">
        <f>+E11+I11+L11</f>
        <v>327578</v>
      </c>
      <c r="T10" s="1482">
        <f>+F11+J11+M11</f>
        <v>202967</v>
      </c>
      <c r="U10" s="1483">
        <f>+T10/B10*100</f>
        <v>99.627440778300269</v>
      </c>
      <c r="V10" s="1473" t="e">
        <v>#REF!</v>
      </c>
      <c r="W10" s="1488">
        <v>10</v>
      </c>
      <c r="X10" s="1486">
        <v>658</v>
      </c>
      <c r="Y10" s="1487">
        <v>353</v>
      </c>
      <c r="Z10" s="1488">
        <v>6</v>
      </c>
      <c r="AA10" s="1486">
        <v>219</v>
      </c>
      <c r="AB10" s="1487">
        <v>116</v>
      </c>
    </row>
    <row r="11" spans="1:28" ht="23.15" customHeight="1">
      <c r="A11" s="1490"/>
      <c r="B11" s="1491"/>
      <c r="C11" s="1492">
        <f t="shared" ref="C11:I11" si="0">SUM(C9:C10)</f>
        <v>11</v>
      </c>
      <c r="D11" s="1493">
        <f t="shared" si="0"/>
        <v>4</v>
      </c>
      <c r="E11" s="1494">
        <f t="shared" si="0"/>
        <v>210593</v>
      </c>
      <c r="F11" s="1495">
        <f t="shared" si="0"/>
        <v>190671</v>
      </c>
      <c r="G11" s="1492">
        <f t="shared" si="0"/>
        <v>25</v>
      </c>
      <c r="H11" s="1493"/>
      <c r="I11" s="1494">
        <f t="shared" si="0"/>
        <v>23323</v>
      </c>
      <c r="J11" s="1495">
        <f t="shared" ref="J11:P11" si="1">J9+J10</f>
        <v>11676</v>
      </c>
      <c r="K11" s="1496">
        <f t="shared" si="1"/>
        <v>12</v>
      </c>
      <c r="L11" s="1494">
        <f t="shared" si="1"/>
        <v>93662</v>
      </c>
      <c r="M11" s="1495">
        <f t="shared" si="1"/>
        <v>620</v>
      </c>
      <c r="N11" s="1496">
        <f t="shared" si="1"/>
        <v>5</v>
      </c>
      <c r="O11" s="1494">
        <f t="shared" si="1"/>
        <v>4250</v>
      </c>
      <c r="P11" s="1495">
        <f t="shared" si="1"/>
        <v>52</v>
      </c>
      <c r="Q11" s="1497"/>
      <c r="R11" s="1498"/>
      <c r="S11" s="1499"/>
      <c r="T11" s="1500"/>
      <c r="U11" s="1501"/>
      <c r="V11" s="1473" t="e">
        <f t="shared" ref="V11:AB11" si="2">SUM(V9:V10)</f>
        <v>#REF!</v>
      </c>
      <c r="W11" s="1496">
        <f t="shared" si="2"/>
        <v>15</v>
      </c>
      <c r="X11" s="1494">
        <f t="shared" si="2"/>
        <v>1018</v>
      </c>
      <c r="Y11" s="1495">
        <f t="shared" si="2"/>
        <v>457</v>
      </c>
      <c r="Z11" s="1496">
        <f t="shared" si="2"/>
        <v>11</v>
      </c>
      <c r="AA11" s="1494">
        <f t="shared" si="2"/>
        <v>348</v>
      </c>
      <c r="AB11" s="1495">
        <f t="shared" si="2"/>
        <v>174</v>
      </c>
    </row>
    <row r="12" spans="1:28" ht="23.15" customHeight="1">
      <c r="A12" s="1502" t="s">
        <v>329</v>
      </c>
      <c r="B12" s="1503"/>
      <c r="C12" s="1474">
        <v>7</v>
      </c>
      <c r="D12" s="1475">
        <v>4</v>
      </c>
      <c r="E12" s="1476">
        <v>197340</v>
      </c>
      <c r="F12" s="1477">
        <v>185624</v>
      </c>
      <c r="G12" s="1474">
        <v>1</v>
      </c>
      <c r="H12" s="1475">
        <v>0</v>
      </c>
      <c r="I12" s="1476">
        <v>4740</v>
      </c>
      <c r="J12" s="1477">
        <v>4074</v>
      </c>
      <c r="K12" s="1478">
        <v>0</v>
      </c>
      <c r="L12" s="1476">
        <v>0</v>
      </c>
      <c r="M12" s="1477">
        <v>0</v>
      </c>
      <c r="N12" s="1478">
        <v>0</v>
      </c>
      <c r="O12" s="1476">
        <v>0</v>
      </c>
      <c r="P12" s="1477">
        <v>0</v>
      </c>
      <c r="Q12" s="1479"/>
      <c r="R12" s="1480"/>
      <c r="S12" s="1481"/>
      <c r="T12" s="1482"/>
      <c r="U12" s="1483"/>
      <c r="V12" s="1473"/>
      <c r="W12" s="1478">
        <v>1</v>
      </c>
      <c r="X12" s="1476">
        <v>55</v>
      </c>
      <c r="Y12" s="1477">
        <v>20</v>
      </c>
      <c r="Z12" s="1478">
        <v>0</v>
      </c>
      <c r="AA12" s="1476">
        <v>0</v>
      </c>
      <c r="AB12" s="1477">
        <v>0</v>
      </c>
    </row>
    <row r="13" spans="1:28" ht="23.15" customHeight="1">
      <c r="A13" s="1504"/>
      <c r="B13" s="1505">
        <v>191050</v>
      </c>
      <c r="C13" s="1484">
        <v>0</v>
      </c>
      <c r="D13" s="1506">
        <v>0</v>
      </c>
      <c r="E13" s="1486">
        <v>0</v>
      </c>
      <c r="F13" s="1487">
        <v>0</v>
      </c>
      <c r="G13" s="1484">
        <v>2</v>
      </c>
      <c r="H13" s="1506">
        <v>0</v>
      </c>
      <c r="I13" s="1486">
        <v>1255</v>
      </c>
      <c r="J13" s="1487">
        <v>216</v>
      </c>
      <c r="K13" s="1488">
        <v>3</v>
      </c>
      <c r="L13" s="1507">
        <v>830</v>
      </c>
      <c r="M13" s="1508">
        <v>0</v>
      </c>
      <c r="N13" s="1488">
        <v>0</v>
      </c>
      <c r="O13" s="1486">
        <v>0</v>
      </c>
      <c r="P13" s="1487">
        <v>0</v>
      </c>
      <c r="Q13" s="1479">
        <f>+C14+G14+K14+N14</f>
        <v>13</v>
      </c>
      <c r="R13" s="1489">
        <f>+D14+H14</f>
        <v>4</v>
      </c>
      <c r="S13" s="1481">
        <f>+E14+I14+L14</f>
        <v>204165</v>
      </c>
      <c r="T13" s="1482">
        <f>+F14+J14+M14</f>
        <v>189914</v>
      </c>
      <c r="U13" s="1483">
        <f>+T13/B13*100</f>
        <v>99.405391258832765</v>
      </c>
      <c r="V13" s="1473"/>
      <c r="W13" s="1488">
        <v>1</v>
      </c>
      <c r="X13" s="1486">
        <v>20</v>
      </c>
      <c r="Y13" s="1487">
        <v>8</v>
      </c>
      <c r="Z13" s="1488">
        <v>0</v>
      </c>
      <c r="AA13" s="1486">
        <v>0</v>
      </c>
      <c r="AB13" s="1487">
        <v>0</v>
      </c>
    </row>
    <row r="14" spans="1:28" ht="23.15" customHeight="1">
      <c r="A14" s="1509"/>
      <c r="B14" s="1510"/>
      <c r="C14" s="1492">
        <f t="shared" ref="C14:I14" si="3">SUM(C12:C13)</f>
        <v>7</v>
      </c>
      <c r="D14" s="1493">
        <f t="shared" si="3"/>
        <v>4</v>
      </c>
      <c r="E14" s="1494">
        <f t="shared" si="3"/>
        <v>197340</v>
      </c>
      <c r="F14" s="1495">
        <f t="shared" si="3"/>
        <v>185624</v>
      </c>
      <c r="G14" s="1492">
        <f t="shared" si="3"/>
        <v>3</v>
      </c>
      <c r="H14" s="1493"/>
      <c r="I14" s="1494">
        <f t="shared" si="3"/>
        <v>5995</v>
      </c>
      <c r="J14" s="1495">
        <f t="shared" ref="J14:P14" si="4">J12+J13</f>
        <v>4290</v>
      </c>
      <c r="K14" s="1496">
        <f t="shared" si="4"/>
        <v>3</v>
      </c>
      <c r="L14" s="1494">
        <f t="shared" si="4"/>
        <v>830</v>
      </c>
      <c r="M14" s="1495">
        <f t="shared" si="4"/>
        <v>0</v>
      </c>
      <c r="N14" s="1496">
        <f t="shared" si="4"/>
        <v>0</v>
      </c>
      <c r="O14" s="1494">
        <f t="shared" si="4"/>
        <v>0</v>
      </c>
      <c r="P14" s="1495">
        <f t="shared" si="4"/>
        <v>0</v>
      </c>
      <c r="Q14" s="1497"/>
      <c r="R14" s="1498"/>
      <c r="S14" s="1499"/>
      <c r="T14" s="1500"/>
      <c r="U14" s="1501"/>
      <c r="V14" s="1473">
        <f t="shared" ref="V14:AB14" si="5">SUM(V12:V13)</f>
        <v>0</v>
      </c>
      <c r="W14" s="1496">
        <f t="shared" si="5"/>
        <v>2</v>
      </c>
      <c r="X14" s="1494">
        <f t="shared" si="5"/>
        <v>75</v>
      </c>
      <c r="Y14" s="1495">
        <f t="shared" si="5"/>
        <v>28</v>
      </c>
      <c r="Z14" s="1496">
        <f t="shared" si="5"/>
        <v>0</v>
      </c>
      <c r="AA14" s="1494">
        <f t="shared" si="5"/>
        <v>0</v>
      </c>
      <c r="AB14" s="1495">
        <f t="shared" si="5"/>
        <v>0</v>
      </c>
    </row>
    <row r="15" spans="1:28" ht="23.15" customHeight="1">
      <c r="A15" s="1472"/>
      <c r="B15" s="1473"/>
      <c r="C15" s="1474">
        <v>6</v>
      </c>
      <c r="D15" s="1511">
        <v>0</v>
      </c>
      <c r="E15" s="1476">
        <v>193810</v>
      </c>
      <c r="F15" s="1477">
        <v>187413</v>
      </c>
      <c r="G15" s="1474">
        <v>1</v>
      </c>
      <c r="H15" s="1512">
        <v>0</v>
      </c>
      <c r="I15" s="1476">
        <v>229</v>
      </c>
      <c r="J15" s="1477">
        <v>190</v>
      </c>
      <c r="K15" s="1478">
        <v>0</v>
      </c>
      <c r="L15" s="1476">
        <v>0</v>
      </c>
      <c r="M15" s="1477">
        <v>0</v>
      </c>
      <c r="N15" s="1478">
        <v>0</v>
      </c>
      <c r="O15" s="1476">
        <v>0</v>
      </c>
      <c r="P15" s="1477">
        <v>0</v>
      </c>
      <c r="Q15" s="1479"/>
      <c r="R15" s="1480"/>
      <c r="S15" s="1481"/>
      <c r="T15" s="1482"/>
      <c r="U15" s="1483"/>
      <c r="V15" s="1473"/>
      <c r="W15" s="1478">
        <v>0</v>
      </c>
      <c r="X15" s="1476">
        <v>0</v>
      </c>
      <c r="Y15" s="1477">
        <v>0</v>
      </c>
      <c r="Z15" s="1478">
        <v>0</v>
      </c>
      <c r="AA15" s="1476">
        <v>0</v>
      </c>
      <c r="AB15" s="1477">
        <v>0</v>
      </c>
    </row>
    <row r="16" spans="1:28" ht="23.15" customHeight="1">
      <c r="A16" s="1472" t="s">
        <v>330</v>
      </c>
      <c r="B16" s="1473">
        <v>190406</v>
      </c>
      <c r="C16" s="1484">
        <v>5</v>
      </c>
      <c r="D16" s="1506">
        <v>0</v>
      </c>
      <c r="E16" s="1486">
        <v>39283</v>
      </c>
      <c r="F16" s="1487">
        <v>1335</v>
      </c>
      <c r="G16" s="1484">
        <v>13</v>
      </c>
      <c r="H16" s="1506">
        <v>0</v>
      </c>
      <c r="I16" s="1486">
        <v>9690</v>
      </c>
      <c r="J16" s="1487">
        <v>950</v>
      </c>
      <c r="K16" s="1488">
        <v>4</v>
      </c>
      <c r="L16" s="1507">
        <v>667</v>
      </c>
      <c r="M16" s="1508">
        <v>5</v>
      </c>
      <c r="N16" s="1513">
        <v>0</v>
      </c>
      <c r="O16" s="1486">
        <v>0</v>
      </c>
      <c r="P16" s="1487">
        <v>0</v>
      </c>
      <c r="Q16" s="1479">
        <f>+C17+G17+K17+N17</f>
        <v>29</v>
      </c>
      <c r="R16" s="1489"/>
      <c r="S16" s="1481">
        <f>+E17+I17+L17</f>
        <v>243679</v>
      </c>
      <c r="T16" s="1482">
        <f>+F17+J17+M17</f>
        <v>189893</v>
      </c>
      <c r="U16" s="1483">
        <f>+T16/B16*100</f>
        <v>99.730575717151766</v>
      </c>
      <c r="V16" s="1473"/>
      <c r="W16" s="1488">
        <v>2</v>
      </c>
      <c r="X16" s="1486">
        <v>154</v>
      </c>
      <c r="Y16" s="1487">
        <v>74</v>
      </c>
      <c r="Z16" s="1488">
        <v>3</v>
      </c>
      <c r="AA16" s="1486">
        <v>105</v>
      </c>
      <c r="AB16" s="1487">
        <v>36</v>
      </c>
    </row>
    <row r="17" spans="1:28" ht="23.15" customHeight="1">
      <c r="A17" s="1490"/>
      <c r="B17" s="1491"/>
      <c r="C17" s="1492">
        <f t="shared" ref="C17:I17" si="6">SUM(C15:C16)</f>
        <v>11</v>
      </c>
      <c r="D17" s="1493"/>
      <c r="E17" s="1494">
        <f t="shared" si="6"/>
        <v>233093</v>
      </c>
      <c r="F17" s="1495">
        <f t="shared" si="6"/>
        <v>188748</v>
      </c>
      <c r="G17" s="1492">
        <f t="shared" si="6"/>
        <v>14</v>
      </c>
      <c r="H17" s="1493"/>
      <c r="I17" s="1494">
        <f t="shared" si="6"/>
        <v>9919</v>
      </c>
      <c r="J17" s="1495">
        <f t="shared" ref="J17:P17" si="7">J15+J16</f>
        <v>1140</v>
      </c>
      <c r="K17" s="1496">
        <f t="shared" si="7"/>
        <v>4</v>
      </c>
      <c r="L17" s="1494">
        <f t="shared" si="7"/>
        <v>667</v>
      </c>
      <c r="M17" s="1495">
        <f t="shared" si="7"/>
        <v>5</v>
      </c>
      <c r="N17" s="1496">
        <f t="shared" si="7"/>
        <v>0</v>
      </c>
      <c r="O17" s="1494">
        <f t="shared" si="7"/>
        <v>0</v>
      </c>
      <c r="P17" s="1495">
        <f t="shared" si="7"/>
        <v>0</v>
      </c>
      <c r="Q17" s="1497"/>
      <c r="R17" s="1498"/>
      <c r="S17" s="1499"/>
      <c r="T17" s="1500"/>
      <c r="U17" s="1501"/>
      <c r="V17" s="1473">
        <f t="shared" ref="V17:AB17" si="8">SUM(V15:V16)</f>
        <v>0</v>
      </c>
      <c r="W17" s="1496">
        <f t="shared" si="8"/>
        <v>2</v>
      </c>
      <c r="X17" s="1494">
        <f t="shared" si="8"/>
        <v>154</v>
      </c>
      <c r="Y17" s="1495">
        <f t="shared" si="8"/>
        <v>74</v>
      </c>
      <c r="Z17" s="1496">
        <f t="shared" si="8"/>
        <v>3</v>
      </c>
      <c r="AA17" s="1494">
        <f t="shared" si="8"/>
        <v>105</v>
      </c>
      <c r="AB17" s="1495">
        <f t="shared" si="8"/>
        <v>36</v>
      </c>
    </row>
    <row r="18" spans="1:28" ht="23.15" customHeight="1">
      <c r="A18" s="1472"/>
      <c r="B18" s="1473"/>
      <c r="C18" s="1474">
        <v>10</v>
      </c>
      <c r="D18" s="1475">
        <v>2</v>
      </c>
      <c r="E18" s="1476">
        <v>187440</v>
      </c>
      <c r="F18" s="1477">
        <v>170811</v>
      </c>
      <c r="G18" s="1474">
        <v>15</v>
      </c>
      <c r="H18" s="1475">
        <v>0</v>
      </c>
      <c r="I18" s="1476">
        <v>5802</v>
      </c>
      <c r="J18" s="1477">
        <v>4185</v>
      </c>
      <c r="K18" s="1478">
        <v>1</v>
      </c>
      <c r="L18" s="1514">
        <v>240</v>
      </c>
      <c r="M18" s="1515">
        <v>0</v>
      </c>
      <c r="N18" s="1516">
        <v>1</v>
      </c>
      <c r="O18" s="1514">
        <v>2450</v>
      </c>
      <c r="P18" s="1515">
        <v>0</v>
      </c>
      <c r="Q18" s="1479"/>
      <c r="R18" s="1480"/>
      <c r="S18" s="1481"/>
      <c r="T18" s="1482"/>
      <c r="U18" s="1483"/>
      <c r="V18" s="1473"/>
      <c r="W18" s="1478">
        <v>6</v>
      </c>
      <c r="X18" s="1476">
        <v>472</v>
      </c>
      <c r="Y18" s="1477">
        <v>300</v>
      </c>
      <c r="Z18" s="1478">
        <v>4</v>
      </c>
      <c r="AA18" s="1476">
        <v>144</v>
      </c>
      <c r="AB18" s="1477">
        <v>45</v>
      </c>
    </row>
    <row r="19" spans="1:28" ht="23.15" customHeight="1">
      <c r="A19" s="1472" t="s">
        <v>331</v>
      </c>
      <c r="B19" s="1473">
        <v>178331</v>
      </c>
      <c r="C19" s="1484">
        <v>0</v>
      </c>
      <c r="D19" s="1506">
        <v>0</v>
      </c>
      <c r="E19" s="1486">
        <v>0</v>
      </c>
      <c r="F19" s="1487">
        <v>0</v>
      </c>
      <c r="G19" s="1484">
        <v>5</v>
      </c>
      <c r="H19" s="1506">
        <v>0</v>
      </c>
      <c r="I19" s="1486">
        <v>2704</v>
      </c>
      <c r="J19" s="1487">
        <v>2089</v>
      </c>
      <c r="K19" s="1488">
        <v>2</v>
      </c>
      <c r="L19" s="1486">
        <v>615</v>
      </c>
      <c r="M19" s="1487">
        <v>0</v>
      </c>
      <c r="N19" s="1488">
        <v>2</v>
      </c>
      <c r="O19" s="1486">
        <v>344</v>
      </c>
      <c r="P19" s="1487">
        <v>0</v>
      </c>
      <c r="Q19" s="1479">
        <f>+C20+G20+K20+N20</f>
        <v>36</v>
      </c>
      <c r="R19" s="1489">
        <f>+D20+H20</f>
        <v>2</v>
      </c>
      <c r="S19" s="1481">
        <f>+E20+I20+L20</f>
        <v>196801</v>
      </c>
      <c r="T19" s="1482">
        <f>+F20+J20+M20</f>
        <v>177085</v>
      </c>
      <c r="U19" s="1483">
        <f>+T19/B19*100</f>
        <v>99.301299269336226</v>
      </c>
      <c r="V19" s="1473"/>
      <c r="W19" s="1488">
        <v>2</v>
      </c>
      <c r="X19" s="1486">
        <v>85</v>
      </c>
      <c r="Y19" s="1487">
        <v>85</v>
      </c>
      <c r="Z19" s="1488">
        <v>3</v>
      </c>
      <c r="AA19" s="1486">
        <v>140</v>
      </c>
      <c r="AB19" s="1487">
        <v>73</v>
      </c>
    </row>
    <row r="20" spans="1:28" ht="23.15" customHeight="1">
      <c r="A20" s="1490"/>
      <c r="B20" s="1491"/>
      <c r="C20" s="1492">
        <f t="shared" ref="C20:I20" si="9">SUM(C18:C19)</f>
        <v>10</v>
      </c>
      <c r="D20" s="1493">
        <f t="shared" si="9"/>
        <v>2</v>
      </c>
      <c r="E20" s="1494">
        <f t="shared" si="9"/>
        <v>187440</v>
      </c>
      <c r="F20" s="1495">
        <f t="shared" si="9"/>
        <v>170811</v>
      </c>
      <c r="G20" s="1492">
        <f t="shared" si="9"/>
        <v>20</v>
      </c>
      <c r="H20" s="1493"/>
      <c r="I20" s="1494">
        <f t="shared" si="9"/>
        <v>8506</v>
      </c>
      <c r="J20" s="1495">
        <f t="shared" ref="J20:P20" si="10">J18+J19</f>
        <v>6274</v>
      </c>
      <c r="K20" s="1496">
        <f t="shared" si="10"/>
        <v>3</v>
      </c>
      <c r="L20" s="1494">
        <f t="shared" si="10"/>
        <v>855</v>
      </c>
      <c r="M20" s="1495">
        <f t="shared" si="10"/>
        <v>0</v>
      </c>
      <c r="N20" s="1496">
        <f t="shared" si="10"/>
        <v>3</v>
      </c>
      <c r="O20" s="1517">
        <f t="shared" si="10"/>
        <v>2794</v>
      </c>
      <c r="P20" s="1518">
        <f t="shared" si="10"/>
        <v>0</v>
      </c>
      <c r="Q20" s="1497"/>
      <c r="R20" s="1498"/>
      <c r="S20" s="1499"/>
      <c r="T20" s="1500"/>
      <c r="U20" s="1501"/>
      <c r="V20" s="1473">
        <f t="shared" ref="V20:AB20" si="11">SUM(V18:V19)</f>
        <v>0</v>
      </c>
      <c r="W20" s="1496">
        <f t="shared" si="11"/>
        <v>8</v>
      </c>
      <c r="X20" s="1494">
        <f t="shared" si="11"/>
        <v>557</v>
      </c>
      <c r="Y20" s="1495">
        <f t="shared" si="11"/>
        <v>385</v>
      </c>
      <c r="Z20" s="1496">
        <f t="shared" si="11"/>
        <v>7</v>
      </c>
      <c r="AA20" s="1494">
        <f t="shared" si="11"/>
        <v>284</v>
      </c>
      <c r="AB20" s="1495">
        <f t="shared" si="11"/>
        <v>118</v>
      </c>
    </row>
    <row r="21" spans="1:28" ht="23.15" customHeight="1">
      <c r="A21" s="1472"/>
      <c r="B21" s="1473"/>
      <c r="C21" s="1474">
        <v>6</v>
      </c>
      <c r="D21" s="1475">
        <v>0</v>
      </c>
      <c r="E21" s="1476">
        <v>147970</v>
      </c>
      <c r="F21" s="1477">
        <v>134383</v>
      </c>
      <c r="G21" s="1474">
        <v>10</v>
      </c>
      <c r="H21" s="1475">
        <v>0</v>
      </c>
      <c r="I21" s="1476">
        <v>18954</v>
      </c>
      <c r="J21" s="1477">
        <v>16338</v>
      </c>
      <c r="K21" s="1478">
        <v>0</v>
      </c>
      <c r="L21" s="1476">
        <v>0</v>
      </c>
      <c r="M21" s="1477">
        <v>0</v>
      </c>
      <c r="N21" s="1478">
        <v>0</v>
      </c>
      <c r="O21" s="1476">
        <v>0</v>
      </c>
      <c r="P21" s="1477">
        <v>0</v>
      </c>
      <c r="Q21" s="1479"/>
      <c r="R21" s="1480"/>
      <c r="S21" s="1481"/>
      <c r="T21" s="1482"/>
      <c r="U21" s="1483"/>
      <c r="V21" s="1473">
        <v>0</v>
      </c>
      <c r="W21" s="1478">
        <v>0</v>
      </c>
      <c r="X21" s="1476">
        <v>0</v>
      </c>
      <c r="Y21" s="1477">
        <v>0</v>
      </c>
      <c r="Z21" s="1478">
        <v>7</v>
      </c>
      <c r="AA21" s="1476">
        <v>249</v>
      </c>
      <c r="AB21" s="1477">
        <v>84</v>
      </c>
    </row>
    <row r="22" spans="1:28" ht="23.15" customHeight="1">
      <c r="A22" s="1472" t="s">
        <v>332</v>
      </c>
      <c r="B22" s="1473">
        <v>152775</v>
      </c>
      <c r="C22" s="1484">
        <v>0</v>
      </c>
      <c r="D22" s="1506">
        <v>0</v>
      </c>
      <c r="E22" s="1486">
        <v>0</v>
      </c>
      <c r="F22" s="1487">
        <v>0</v>
      </c>
      <c r="G22" s="1484">
        <v>0</v>
      </c>
      <c r="H22" s="1506">
        <v>0</v>
      </c>
      <c r="I22" s="1486">
        <v>0</v>
      </c>
      <c r="J22" s="1487">
        <v>0</v>
      </c>
      <c r="K22" s="1488">
        <v>1</v>
      </c>
      <c r="L22" s="1486">
        <v>200</v>
      </c>
      <c r="M22" s="1487">
        <v>87</v>
      </c>
      <c r="N22" s="1488">
        <v>0</v>
      </c>
      <c r="O22" s="1486">
        <v>0</v>
      </c>
      <c r="P22" s="1487">
        <v>0</v>
      </c>
      <c r="Q22" s="1479">
        <f>+C23+G23+K23+N23</f>
        <v>17</v>
      </c>
      <c r="R22" s="1489"/>
      <c r="S22" s="1481">
        <f>+E23+I23+L23</f>
        <v>167124</v>
      </c>
      <c r="T22" s="1482">
        <f>+F23+J23+M23</f>
        <v>150808</v>
      </c>
      <c r="U22" s="1483">
        <f>+T22/B22*100</f>
        <v>98.712485681557851</v>
      </c>
      <c r="V22" s="1473">
        <v>0</v>
      </c>
      <c r="W22" s="1488">
        <v>5</v>
      </c>
      <c r="X22" s="1486">
        <v>345</v>
      </c>
      <c r="Y22" s="1487">
        <v>0</v>
      </c>
      <c r="Z22" s="1488">
        <v>7</v>
      </c>
      <c r="AA22" s="1486">
        <v>147</v>
      </c>
      <c r="AB22" s="1487">
        <v>106</v>
      </c>
    </row>
    <row r="23" spans="1:28" ht="23.15" customHeight="1">
      <c r="A23" s="1490"/>
      <c r="B23" s="1491"/>
      <c r="C23" s="1492">
        <f t="shared" ref="C23:I23" si="12">SUM(C21:C22)</f>
        <v>6</v>
      </c>
      <c r="D23" s="1493"/>
      <c r="E23" s="1494">
        <f t="shared" si="12"/>
        <v>147970</v>
      </c>
      <c r="F23" s="1495">
        <f t="shared" si="12"/>
        <v>134383</v>
      </c>
      <c r="G23" s="1492">
        <f t="shared" si="12"/>
        <v>10</v>
      </c>
      <c r="H23" s="1493"/>
      <c r="I23" s="1494">
        <f t="shared" si="12"/>
        <v>18954</v>
      </c>
      <c r="J23" s="1495">
        <f t="shared" ref="J23:P23" si="13">J21+J22</f>
        <v>16338</v>
      </c>
      <c r="K23" s="1496">
        <f t="shared" si="13"/>
        <v>1</v>
      </c>
      <c r="L23" s="1494">
        <f t="shared" si="13"/>
        <v>200</v>
      </c>
      <c r="M23" s="1495">
        <f t="shared" si="13"/>
        <v>87</v>
      </c>
      <c r="N23" s="1496">
        <f t="shared" si="13"/>
        <v>0</v>
      </c>
      <c r="O23" s="1494">
        <f t="shared" si="13"/>
        <v>0</v>
      </c>
      <c r="P23" s="1495">
        <f t="shared" si="13"/>
        <v>0</v>
      </c>
      <c r="Q23" s="1497"/>
      <c r="R23" s="1498"/>
      <c r="S23" s="1499"/>
      <c r="T23" s="1500"/>
      <c r="U23" s="1501"/>
      <c r="V23" s="1473">
        <f t="shared" ref="V23:AB23" si="14">SUM(V21:V22)</f>
        <v>0</v>
      </c>
      <c r="W23" s="1496">
        <f t="shared" si="14"/>
        <v>5</v>
      </c>
      <c r="X23" s="1494">
        <f t="shared" si="14"/>
        <v>345</v>
      </c>
      <c r="Y23" s="1495">
        <f t="shared" si="14"/>
        <v>0</v>
      </c>
      <c r="Z23" s="1496">
        <f t="shared" si="14"/>
        <v>14</v>
      </c>
      <c r="AA23" s="1494">
        <f t="shared" si="14"/>
        <v>396</v>
      </c>
      <c r="AB23" s="1495">
        <f t="shared" si="14"/>
        <v>190</v>
      </c>
    </row>
    <row r="24" spans="1:28" ht="23.15" customHeight="1">
      <c r="A24" s="1472"/>
      <c r="B24" s="1473"/>
      <c r="C24" s="1474">
        <v>2</v>
      </c>
      <c r="D24" s="1475">
        <v>1</v>
      </c>
      <c r="E24" s="1476">
        <v>5100</v>
      </c>
      <c r="F24" s="1477">
        <v>4699</v>
      </c>
      <c r="G24" s="1474">
        <v>18</v>
      </c>
      <c r="H24" s="1475">
        <v>0</v>
      </c>
      <c r="I24" s="1476">
        <v>28519</v>
      </c>
      <c r="J24" s="1477">
        <v>19314</v>
      </c>
      <c r="K24" s="1478">
        <v>0</v>
      </c>
      <c r="L24" s="1476">
        <v>0</v>
      </c>
      <c r="M24" s="1477">
        <v>0</v>
      </c>
      <c r="N24" s="1478">
        <v>0</v>
      </c>
      <c r="O24" s="1476">
        <v>0</v>
      </c>
      <c r="P24" s="1477">
        <v>0</v>
      </c>
      <c r="Q24" s="1479"/>
      <c r="R24" s="1480"/>
      <c r="S24" s="1481"/>
      <c r="T24" s="1482"/>
      <c r="U24" s="1483"/>
      <c r="V24" s="1473" t="e">
        <v>#REF!</v>
      </c>
      <c r="W24" s="1478">
        <v>1</v>
      </c>
      <c r="X24" s="1476">
        <v>95</v>
      </c>
      <c r="Y24" s="1477">
        <v>39</v>
      </c>
      <c r="Z24" s="1478">
        <v>16</v>
      </c>
      <c r="AA24" s="1476">
        <v>526</v>
      </c>
      <c r="AB24" s="1477">
        <v>230</v>
      </c>
    </row>
    <row r="25" spans="1:28" ht="23.15" customHeight="1">
      <c r="A25" s="1472" t="s">
        <v>333</v>
      </c>
      <c r="B25" s="1473">
        <v>24948</v>
      </c>
      <c r="C25" s="1484">
        <v>0</v>
      </c>
      <c r="D25" s="1506">
        <v>0</v>
      </c>
      <c r="E25" s="1486">
        <v>0</v>
      </c>
      <c r="F25" s="1487">
        <v>0</v>
      </c>
      <c r="G25" s="1484">
        <v>1</v>
      </c>
      <c r="H25" s="1506">
        <v>0</v>
      </c>
      <c r="I25" s="1486">
        <v>1212</v>
      </c>
      <c r="J25" s="1487">
        <v>47</v>
      </c>
      <c r="K25" s="1488">
        <v>1</v>
      </c>
      <c r="L25" s="1486">
        <v>1393</v>
      </c>
      <c r="M25" s="1487">
        <v>45</v>
      </c>
      <c r="N25" s="1488">
        <v>0</v>
      </c>
      <c r="O25" s="1486">
        <v>0</v>
      </c>
      <c r="P25" s="1487">
        <v>0</v>
      </c>
      <c r="Q25" s="1479">
        <f>+C26+G26+K26+N26</f>
        <v>22</v>
      </c>
      <c r="R25" s="1489">
        <f>+D26+H26</f>
        <v>1</v>
      </c>
      <c r="S25" s="1481">
        <f>+E26+I26+L26</f>
        <v>36224</v>
      </c>
      <c r="T25" s="1482">
        <f>+F26+J26+M26</f>
        <v>24105</v>
      </c>
      <c r="U25" s="1483">
        <f>+T25/B25*100</f>
        <v>96.620971620971616</v>
      </c>
      <c r="V25" s="1473" t="e">
        <v>#REF!</v>
      </c>
      <c r="W25" s="1488">
        <v>5</v>
      </c>
      <c r="X25" s="1486">
        <v>382</v>
      </c>
      <c r="Y25" s="1487">
        <v>174</v>
      </c>
      <c r="Z25" s="1488">
        <v>17</v>
      </c>
      <c r="AA25" s="1486">
        <v>438</v>
      </c>
      <c r="AB25" s="1487">
        <v>233</v>
      </c>
    </row>
    <row r="26" spans="1:28" ht="23.15" customHeight="1">
      <c r="A26" s="1490"/>
      <c r="B26" s="1491"/>
      <c r="C26" s="1492">
        <f t="shared" ref="C26:I26" si="15">SUM(C24:C25)</f>
        <v>2</v>
      </c>
      <c r="D26" s="1493">
        <f t="shared" si="15"/>
        <v>1</v>
      </c>
      <c r="E26" s="1494">
        <f t="shared" si="15"/>
        <v>5100</v>
      </c>
      <c r="F26" s="1495">
        <f t="shared" si="15"/>
        <v>4699</v>
      </c>
      <c r="G26" s="1492">
        <f t="shared" si="15"/>
        <v>19</v>
      </c>
      <c r="H26" s="1493"/>
      <c r="I26" s="1494">
        <f t="shared" si="15"/>
        <v>29731</v>
      </c>
      <c r="J26" s="1495">
        <f t="shared" ref="J26:P26" si="16">J24+J25</f>
        <v>19361</v>
      </c>
      <c r="K26" s="1496">
        <f t="shared" si="16"/>
        <v>1</v>
      </c>
      <c r="L26" s="1494">
        <f t="shared" si="16"/>
        <v>1393</v>
      </c>
      <c r="M26" s="1495">
        <f t="shared" si="16"/>
        <v>45</v>
      </c>
      <c r="N26" s="1496">
        <f t="shared" si="16"/>
        <v>0</v>
      </c>
      <c r="O26" s="1494">
        <f t="shared" si="16"/>
        <v>0</v>
      </c>
      <c r="P26" s="1495">
        <f t="shared" si="16"/>
        <v>0</v>
      </c>
      <c r="Q26" s="1497"/>
      <c r="R26" s="1498"/>
      <c r="S26" s="1499"/>
      <c r="T26" s="1500"/>
      <c r="U26" s="1501"/>
      <c r="V26" s="1473" t="e">
        <f t="shared" ref="V26:AB26" si="17">SUM(V24:V25)</f>
        <v>#REF!</v>
      </c>
      <c r="W26" s="1496">
        <f t="shared" si="17"/>
        <v>6</v>
      </c>
      <c r="X26" s="1494">
        <f t="shared" si="17"/>
        <v>477</v>
      </c>
      <c r="Y26" s="1495">
        <f t="shared" si="17"/>
        <v>213</v>
      </c>
      <c r="Z26" s="1496">
        <f t="shared" si="17"/>
        <v>33</v>
      </c>
      <c r="AA26" s="1494">
        <f t="shared" si="17"/>
        <v>964</v>
      </c>
      <c r="AB26" s="1495">
        <f t="shared" si="17"/>
        <v>463</v>
      </c>
    </row>
    <row r="27" spans="1:28" ht="23.15" customHeight="1">
      <c r="A27" s="1472"/>
      <c r="B27" s="1473"/>
      <c r="C27" s="1474">
        <v>7</v>
      </c>
      <c r="D27" s="1475">
        <v>0</v>
      </c>
      <c r="E27" s="1476">
        <v>414590</v>
      </c>
      <c r="F27" s="1477">
        <v>404414</v>
      </c>
      <c r="G27" s="1474">
        <v>5</v>
      </c>
      <c r="H27" s="1475">
        <v>0</v>
      </c>
      <c r="I27" s="1476">
        <v>16279</v>
      </c>
      <c r="J27" s="1477">
        <v>12469</v>
      </c>
      <c r="K27" s="1478">
        <v>1</v>
      </c>
      <c r="L27" s="1476">
        <v>0</v>
      </c>
      <c r="M27" s="1477">
        <v>0</v>
      </c>
      <c r="N27" s="1478">
        <v>1</v>
      </c>
      <c r="O27" s="1476">
        <v>926</v>
      </c>
      <c r="P27" s="1477">
        <v>0</v>
      </c>
      <c r="Q27" s="1479"/>
      <c r="R27" s="1480"/>
      <c r="S27" s="1481"/>
      <c r="T27" s="1482"/>
      <c r="U27" s="1483"/>
      <c r="V27" s="1473"/>
      <c r="W27" s="1478">
        <v>1</v>
      </c>
      <c r="X27" s="1476">
        <v>52</v>
      </c>
      <c r="Y27" s="1477">
        <v>14</v>
      </c>
      <c r="Z27" s="1478">
        <v>0</v>
      </c>
      <c r="AA27" s="1476">
        <v>0</v>
      </c>
      <c r="AB27" s="1477">
        <v>0</v>
      </c>
    </row>
    <row r="28" spans="1:28" ht="23.15" customHeight="1">
      <c r="A28" s="1472" t="s">
        <v>334</v>
      </c>
      <c r="B28" s="1473">
        <v>419338</v>
      </c>
      <c r="C28" s="1484">
        <v>0</v>
      </c>
      <c r="D28" s="1485">
        <v>0</v>
      </c>
      <c r="E28" s="1486">
        <v>0</v>
      </c>
      <c r="F28" s="1487">
        <v>0</v>
      </c>
      <c r="G28" s="1484">
        <v>2</v>
      </c>
      <c r="H28" s="1485">
        <v>0</v>
      </c>
      <c r="I28" s="1486">
        <v>674</v>
      </c>
      <c r="J28" s="1487">
        <v>558</v>
      </c>
      <c r="K28" s="1488">
        <v>5</v>
      </c>
      <c r="L28" s="1486">
        <v>2000</v>
      </c>
      <c r="M28" s="1487">
        <v>0</v>
      </c>
      <c r="N28" s="1488">
        <v>7</v>
      </c>
      <c r="O28" s="1486">
        <v>8316</v>
      </c>
      <c r="P28" s="1487">
        <v>0</v>
      </c>
      <c r="Q28" s="1479">
        <f>+C29+G29+K29+N29</f>
        <v>28</v>
      </c>
      <c r="R28" s="1489"/>
      <c r="S28" s="1481">
        <f>+E29+I29+L29</f>
        <v>433543</v>
      </c>
      <c r="T28" s="1482">
        <f>+F29+J29+M29</f>
        <v>417441</v>
      </c>
      <c r="U28" s="1483">
        <f>+T28/B28*100</f>
        <v>99.547620296753465</v>
      </c>
      <c r="V28" s="1473"/>
      <c r="W28" s="1488">
        <v>11</v>
      </c>
      <c r="X28" s="1486">
        <v>699</v>
      </c>
      <c r="Y28" s="1487">
        <v>331</v>
      </c>
      <c r="Z28" s="1488">
        <v>1</v>
      </c>
      <c r="AA28" s="1486">
        <v>26</v>
      </c>
      <c r="AB28" s="1487">
        <v>21</v>
      </c>
    </row>
    <row r="29" spans="1:28" ht="23.15" customHeight="1">
      <c r="A29" s="1490"/>
      <c r="B29" s="1491"/>
      <c r="C29" s="1492">
        <f t="shared" ref="C29:I29" si="18">SUM(C27:C28)</f>
        <v>7</v>
      </c>
      <c r="D29" s="1493"/>
      <c r="E29" s="1494">
        <f t="shared" si="18"/>
        <v>414590</v>
      </c>
      <c r="F29" s="1495">
        <f t="shared" si="18"/>
        <v>404414</v>
      </c>
      <c r="G29" s="1492">
        <f t="shared" si="18"/>
        <v>7</v>
      </c>
      <c r="H29" s="1493"/>
      <c r="I29" s="1494">
        <f t="shared" si="18"/>
        <v>16953</v>
      </c>
      <c r="J29" s="1495">
        <f t="shared" ref="J29:P29" si="19">J27+J28</f>
        <v>13027</v>
      </c>
      <c r="K29" s="1496">
        <f t="shared" si="19"/>
        <v>6</v>
      </c>
      <c r="L29" s="1494">
        <f t="shared" si="19"/>
        <v>2000</v>
      </c>
      <c r="M29" s="1495">
        <f t="shared" si="19"/>
        <v>0</v>
      </c>
      <c r="N29" s="1496">
        <f t="shared" si="19"/>
        <v>8</v>
      </c>
      <c r="O29" s="1494">
        <f t="shared" si="19"/>
        <v>9242</v>
      </c>
      <c r="P29" s="1495">
        <f t="shared" si="19"/>
        <v>0</v>
      </c>
      <c r="Q29" s="1497"/>
      <c r="R29" s="1498"/>
      <c r="S29" s="1499"/>
      <c r="T29" s="1500"/>
      <c r="U29" s="1501"/>
      <c r="V29" s="1473">
        <f t="shared" ref="V29:AB29" si="20">SUM(V27:V28)</f>
        <v>0</v>
      </c>
      <c r="W29" s="1496">
        <f t="shared" si="20"/>
        <v>12</v>
      </c>
      <c r="X29" s="1494">
        <f t="shared" si="20"/>
        <v>751</v>
      </c>
      <c r="Y29" s="1495">
        <f t="shared" si="20"/>
        <v>345</v>
      </c>
      <c r="Z29" s="1496">
        <f t="shared" si="20"/>
        <v>1</v>
      </c>
      <c r="AA29" s="1494">
        <f t="shared" si="20"/>
        <v>26</v>
      </c>
      <c r="AB29" s="1495">
        <f t="shared" si="20"/>
        <v>21</v>
      </c>
    </row>
    <row r="30" spans="1:28" ht="23.15" customHeight="1">
      <c r="A30" s="1472"/>
      <c r="B30" s="1473"/>
      <c r="C30" s="1474">
        <v>4</v>
      </c>
      <c r="D30" s="1475">
        <v>0</v>
      </c>
      <c r="E30" s="1476">
        <v>56000</v>
      </c>
      <c r="F30" s="1477">
        <v>50846</v>
      </c>
      <c r="G30" s="1474">
        <v>3</v>
      </c>
      <c r="H30" s="1475">
        <v>0</v>
      </c>
      <c r="I30" s="1476">
        <v>4304</v>
      </c>
      <c r="J30" s="1477">
        <v>3862</v>
      </c>
      <c r="K30" s="1478">
        <v>2</v>
      </c>
      <c r="L30" s="1476">
        <v>140</v>
      </c>
      <c r="M30" s="1477">
        <v>14</v>
      </c>
      <c r="N30" s="1478">
        <v>0</v>
      </c>
      <c r="O30" s="1476">
        <v>0</v>
      </c>
      <c r="P30" s="1477">
        <v>0</v>
      </c>
      <c r="Q30" s="1479"/>
      <c r="R30" s="1480"/>
      <c r="S30" s="1481"/>
      <c r="T30" s="1482"/>
      <c r="U30" s="1483"/>
      <c r="V30" s="1473"/>
      <c r="W30" s="1478">
        <v>1</v>
      </c>
      <c r="X30" s="1476">
        <v>70</v>
      </c>
      <c r="Y30" s="1477">
        <v>3</v>
      </c>
      <c r="Z30" s="1478">
        <v>2</v>
      </c>
      <c r="AA30" s="1476">
        <v>73</v>
      </c>
      <c r="AB30" s="1477">
        <v>0</v>
      </c>
    </row>
    <row r="31" spans="1:28" ht="23.15" customHeight="1">
      <c r="A31" s="1519" t="s">
        <v>335</v>
      </c>
      <c r="B31" s="1473">
        <v>55666</v>
      </c>
      <c r="C31" s="1484">
        <v>0</v>
      </c>
      <c r="D31" s="1485">
        <v>0</v>
      </c>
      <c r="E31" s="1486">
        <v>0</v>
      </c>
      <c r="F31" s="1487">
        <v>0</v>
      </c>
      <c r="G31" s="1484">
        <v>4</v>
      </c>
      <c r="H31" s="1485">
        <v>0</v>
      </c>
      <c r="I31" s="1486">
        <v>502</v>
      </c>
      <c r="J31" s="1487">
        <v>253</v>
      </c>
      <c r="K31" s="1488">
        <v>3</v>
      </c>
      <c r="L31" s="1486">
        <v>950</v>
      </c>
      <c r="M31" s="1487">
        <v>47</v>
      </c>
      <c r="N31" s="1488">
        <v>0</v>
      </c>
      <c r="O31" s="1486">
        <v>0</v>
      </c>
      <c r="P31" s="1487">
        <v>0</v>
      </c>
      <c r="Q31" s="1479">
        <f>+C32+G32+K32+N32</f>
        <v>16</v>
      </c>
      <c r="R31" s="1489"/>
      <c r="S31" s="1481">
        <f>+E32+I32+L32</f>
        <v>61896</v>
      </c>
      <c r="T31" s="1482">
        <f>+F32+J32+M32</f>
        <v>55022</v>
      </c>
      <c r="U31" s="1483">
        <f>+T31/B31*100</f>
        <v>98.84309991736427</v>
      </c>
      <c r="V31" s="1473"/>
      <c r="W31" s="1488">
        <v>6</v>
      </c>
      <c r="X31" s="1486">
        <v>350</v>
      </c>
      <c r="Y31" s="1487">
        <v>41</v>
      </c>
      <c r="Z31" s="1488">
        <v>17</v>
      </c>
      <c r="AA31" s="1486">
        <v>559</v>
      </c>
      <c r="AB31" s="1487">
        <v>308</v>
      </c>
    </row>
    <row r="32" spans="1:28" ht="23.15" customHeight="1">
      <c r="A32" s="1490"/>
      <c r="B32" s="1491"/>
      <c r="C32" s="1492">
        <f t="shared" ref="C32:I32" si="21">SUM(C30:C31)</f>
        <v>4</v>
      </c>
      <c r="D32" s="1493"/>
      <c r="E32" s="1494">
        <f t="shared" si="21"/>
        <v>56000</v>
      </c>
      <c r="F32" s="1495">
        <f t="shared" si="21"/>
        <v>50846</v>
      </c>
      <c r="G32" s="1492">
        <f t="shared" si="21"/>
        <v>7</v>
      </c>
      <c r="H32" s="1493"/>
      <c r="I32" s="1494">
        <f t="shared" si="21"/>
        <v>4806</v>
      </c>
      <c r="J32" s="1495">
        <f t="shared" ref="J32:P32" si="22">J30+J31</f>
        <v>4115</v>
      </c>
      <c r="K32" s="1496">
        <f t="shared" si="22"/>
        <v>5</v>
      </c>
      <c r="L32" s="1494">
        <f t="shared" si="22"/>
        <v>1090</v>
      </c>
      <c r="M32" s="1495">
        <f t="shared" si="22"/>
        <v>61</v>
      </c>
      <c r="N32" s="1496">
        <f t="shared" si="22"/>
        <v>0</v>
      </c>
      <c r="O32" s="1494">
        <f t="shared" si="22"/>
        <v>0</v>
      </c>
      <c r="P32" s="1495">
        <f t="shared" si="22"/>
        <v>0</v>
      </c>
      <c r="Q32" s="1497"/>
      <c r="R32" s="1498"/>
      <c r="S32" s="1499"/>
      <c r="T32" s="1500"/>
      <c r="U32" s="1501"/>
      <c r="V32" s="1473">
        <f t="shared" ref="V32:AB32" si="23">SUM(V30:V31)</f>
        <v>0</v>
      </c>
      <c r="W32" s="1496">
        <f t="shared" si="23"/>
        <v>7</v>
      </c>
      <c r="X32" s="1494">
        <f t="shared" si="23"/>
        <v>420</v>
      </c>
      <c r="Y32" s="1495">
        <f t="shared" si="23"/>
        <v>44</v>
      </c>
      <c r="Z32" s="1496">
        <f t="shared" si="23"/>
        <v>19</v>
      </c>
      <c r="AA32" s="1494">
        <f t="shared" si="23"/>
        <v>632</v>
      </c>
      <c r="AB32" s="1495">
        <f t="shared" si="23"/>
        <v>308</v>
      </c>
    </row>
    <row r="33" spans="1:28" ht="23.15" customHeight="1">
      <c r="A33" s="1472"/>
      <c r="B33" s="1473"/>
      <c r="C33" s="1474">
        <v>11</v>
      </c>
      <c r="D33" s="1475">
        <v>2</v>
      </c>
      <c r="E33" s="1476">
        <v>550841</v>
      </c>
      <c r="F33" s="1477">
        <v>512197</v>
      </c>
      <c r="G33" s="1474">
        <v>2</v>
      </c>
      <c r="H33" s="1475">
        <v>0</v>
      </c>
      <c r="I33" s="1476">
        <v>5180</v>
      </c>
      <c r="J33" s="1477">
        <v>2361</v>
      </c>
      <c r="K33" s="1478">
        <v>2</v>
      </c>
      <c r="L33" s="1476">
        <v>1019</v>
      </c>
      <c r="M33" s="1477">
        <v>889</v>
      </c>
      <c r="N33" s="1478">
        <v>0</v>
      </c>
      <c r="O33" s="1476">
        <v>0</v>
      </c>
      <c r="P33" s="1477">
        <v>0</v>
      </c>
      <c r="Q33" s="1479"/>
      <c r="R33" s="1480"/>
      <c r="S33" s="1481"/>
      <c r="T33" s="1482"/>
      <c r="U33" s="1483"/>
      <c r="V33" s="1473" t="e">
        <v>#REF!</v>
      </c>
      <c r="W33" s="1478">
        <v>1</v>
      </c>
      <c r="X33" s="1476">
        <v>48</v>
      </c>
      <c r="Y33" s="1477">
        <v>0</v>
      </c>
      <c r="Z33" s="1478">
        <v>0</v>
      </c>
      <c r="AA33" s="1476">
        <v>0</v>
      </c>
      <c r="AB33" s="1477">
        <v>0</v>
      </c>
    </row>
    <row r="34" spans="1:28" ht="23.15" customHeight="1">
      <c r="A34" s="1472" t="s">
        <v>336</v>
      </c>
      <c r="B34" s="1473">
        <v>524796</v>
      </c>
      <c r="C34" s="1484">
        <v>0</v>
      </c>
      <c r="D34" s="1485">
        <v>0</v>
      </c>
      <c r="E34" s="1486">
        <v>0</v>
      </c>
      <c r="F34" s="1487">
        <v>0</v>
      </c>
      <c r="G34" s="1484">
        <v>6</v>
      </c>
      <c r="H34" s="1485">
        <v>0</v>
      </c>
      <c r="I34" s="1486">
        <v>4218</v>
      </c>
      <c r="J34" s="1487">
        <v>790</v>
      </c>
      <c r="K34" s="1488">
        <v>5</v>
      </c>
      <c r="L34" s="1486">
        <v>3155</v>
      </c>
      <c r="M34" s="1487">
        <v>124</v>
      </c>
      <c r="N34" s="1488">
        <v>10</v>
      </c>
      <c r="O34" s="1486">
        <v>61913</v>
      </c>
      <c r="P34" s="1520">
        <v>0</v>
      </c>
      <c r="Q34" s="1479">
        <f>+C35+G35+K35+N35</f>
        <v>36</v>
      </c>
      <c r="R34" s="1489">
        <f>+D35+H35</f>
        <v>2</v>
      </c>
      <c r="S34" s="1481">
        <f>+E35+I35+L35</f>
        <v>564413</v>
      </c>
      <c r="T34" s="1482">
        <f>+F35+J35+M35</f>
        <v>516361</v>
      </c>
      <c r="U34" s="1483">
        <f>+T34/B34*100</f>
        <v>98.392708785890136</v>
      </c>
      <c r="V34" s="1473" t="e">
        <v>#REF!</v>
      </c>
      <c r="W34" s="1488">
        <v>23</v>
      </c>
      <c r="X34" s="1486">
        <v>1203</v>
      </c>
      <c r="Y34" s="1487">
        <v>1080</v>
      </c>
      <c r="Z34" s="1488">
        <v>27</v>
      </c>
      <c r="AA34" s="1486">
        <v>660</v>
      </c>
      <c r="AB34" s="1487">
        <v>544</v>
      </c>
    </row>
    <row r="35" spans="1:28" ht="23.15" customHeight="1">
      <c r="A35" s="1490"/>
      <c r="B35" s="1491"/>
      <c r="C35" s="1492">
        <f t="shared" ref="C35:I35" si="24">SUM(C33:C34)</f>
        <v>11</v>
      </c>
      <c r="D35" s="1493">
        <f t="shared" si="24"/>
        <v>2</v>
      </c>
      <c r="E35" s="1494">
        <f t="shared" si="24"/>
        <v>550841</v>
      </c>
      <c r="F35" s="1495">
        <f t="shared" si="24"/>
        <v>512197</v>
      </c>
      <c r="G35" s="1492">
        <f t="shared" si="24"/>
        <v>8</v>
      </c>
      <c r="H35" s="1493"/>
      <c r="I35" s="1494">
        <f t="shared" si="24"/>
        <v>9398</v>
      </c>
      <c r="J35" s="1495">
        <f t="shared" ref="J35:P35" si="25">J33+J34</f>
        <v>3151</v>
      </c>
      <c r="K35" s="1496">
        <f t="shared" si="25"/>
        <v>7</v>
      </c>
      <c r="L35" s="1494">
        <f t="shared" si="25"/>
        <v>4174</v>
      </c>
      <c r="M35" s="1495">
        <f t="shared" si="25"/>
        <v>1013</v>
      </c>
      <c r="N35" s="1496">
        <f t="shared" si="25"/>
        <v>10</v>
      </c>
      <c r="O35" s="1494">
        <f t="shared" si="25"/>
        <v>61913</v>
      </c>
      <c r="P35" s="1495">
        <f t="shared" si="25"/>
        <v>0</v>
      </c>
      <c r="Q35" s="1497"/>
      <c r="R35" s="1498"/>
      <c r="S35" s="1499"/>
      <c r="T35" s="1500"/>
      <c r="U35" s="1501"/>
      <c r="V35" s="1473" t="e">
        <f t="shared" ref="V35:AB35" si="26">SUM(V33:V34)</f>
        <v>#REF!</v>
      </c>
      <c r="W35" s="1496">
        <f t="shared" si="26"/>
        <v>24</v>
      </c>
      <c r="X35" s="1494">
        <f t="shared" si="26"/>
        <v>1251</v>
      </c>
      <c r="Y35" s="1495">
        <f t="shared" si="26"/>
        <v>1080</v>
      </c>
      <c r="Z35" s="1496">
        <f t="shared" si="26"/>
        <v>27</v>
      </c>
      <c r="AA35" s="1494">
        <f t="shared" si="26"/>
        <v>660</v>
      </c>
      <c r="AB35" s="1495">
        <f t="shared" si="26"/>
        <v>544</v>
      </c>
    </row>
    <row r="36" spans="1:28" ht="23.15" customHeight="1">
      <c r="A36" s="1472"/>
      <c r="B36" s="1473"/>
      <c r="C36" s="1474">
        <v>6</v>
      </c>
      <c r="D36" s="1475">
        <v>1</v>
      </c>
      <c r="E36" s="1476">
        <v>86970</v>
      </c>
      <c r="F36" s="1477">
        <v>75625</v>
      </c>
      <c r="G36" s="1474">
        <v>10</v>
      </c>
      <c r="H36" s="1475">
        <v>0</v>
      </c>
      <c r="I36" s="1476">
        <v>6620</v>
      </c>
      <c r="J36" s="1477">
        <v>3327</v>
      </c>
      <c r="K36" s="1478">
        <v>0</v>
      </c>
      <c r="L36" s="1476">
        <v>0</v>
      </c>
      <c r="M36" s="1477">
        <v>0</v>
      </c>
      <c r="N36" s="1478">
        <v>0</v>
      </c>
      <c r="O36" s="1476">
        <v>0</v>
      </c>
      <c r="P36" s="1477">
        <v>0</v>
      </c>
      <c r="Q36" s="1479"/>
      <c r="R36" s="1480"/>
      <c r="S36" s="1481"/>
      <c r="T36" s="1482"/>
      <c r="U36" s="1483"/>
      <c r="V36" s="1473"/>
      <c r="W36" s="1478">
        <v>1</v>
      </c>
      <c r="X36" s="1476">
        <v>65</v>
      </c>
      <c r="Y36" s="1477">
        <v>20</v>
      </c>
      <c r="Z36" s="1478">
        <v>0</v>
      </c>
      <c r="AA36" s="1476">
        <v>0</v>
      </c>
      <c r="AB36" s="1477">
        <v>0</v>
      </c>
    </row>
    <row r="37" spans="1:28" ht="23.15" customHeight="1">
      <c r="A37" s="1472" t="s">
        <v>337</v>
      </c>
      <c r="B37" s="1473">
        <v>81186</v>
      </c>
      <c r="C37" s="1484">
        <v>0</v>
      </c>
      <c r="D37" s="1485">
        <v>0</v>
      </c>
      <c r="E37" s="1486">
        <v>0</v>
      </c>
      <c r="F37" s="1487">
        <v>0</v>
      </c>
      <c r="G37" s="1484">
        <v>1</v>
      </c>
      <c r="H37" s="1485">
        <v>0</v>
      </c>
      <c r="I37" s="1486">
        <v>1800</v>
      </c>
      <c r="J37" s="1487">
        <v>62</v>
      </c>
      <c r="K37" s="1488">
        <v>0</v>
      </c>
      <c r="L37" s="1486">
        <v>0</v>
      </c>
      <c r="M37" s="1487">
        <v>0</v>
      </c>
      <c r="N37" s="1488">
        <v>1</v>
      </c>
      <c r="O37" s="1486">
        <v>647</v>
      </c>
      <c r="P37" s="1487">
        <v>0</v>
      </c>
      <c r="Q37" s="1479">
        <f>+C38+G38+K38+N38</f>
        <v>18</v>
      </c>
      <c r="R37" s="1489">
        <f>+D38+H38</f>
        <v>1</v>
      </c>
      <c r="S37" s="1481">
        <f>+E38+I38+L38</f>
        <v>95390</v>
      </c>
      <c r="T37" s="1482">
        <f>+F38+J38+M38</f>
        <v>79014</v>
      </c>
      <c r="U37" s="1483">
        <f>+T37/B37*100</f>
        <v>97.32466188751755</v>
      </c>
      <c r="V37" s="1473"/>
      <c r="W37" s="1488">
        <v>16</v>
      </c>
      <c r="X37" s="1486">
        <v>951</v>
      </c>
      <c r="Y37" s="1487">
        <v>452</v>
      </c>
      <c r="Z37" s="1488">
        <v>12</v>
      </c>
      <c r="AA37" s="1486">
        <v>187</v>
      </c>
      <c r="AB37" s="1487">
        <v>137</v>
      </c>
    </row>
    <row r="38" spans="1:28" ht="23.15" customHeight="1">
      <c r="A38" s="1490"/>
      <c r="B38" s="1491"/>
      <c r="C38" s="1492">
        <f t="shared" ref="C38:I38" si="27">SUM(C36:C37)</f>
        <v>6</v>
      </c>
      <c r="D38" s="1493">
        <f t="shared" si="27"/>
        <v>1</v>
      </c>
      <c r="E38" s="1494">
        <f t="shared" si="27"/>
        <v>86970</v>
      </c>
      <c r="F38" s="1495">
        <f t="shared" si="27"/>
        <v>75625</v>
      </c>
      <c r="G38" s="1492">
        <f t="shared" si="27"/>
        <v>11</v>
      </c>
      <c r="H38" s="1493"/>
      <c r="I38" s="1494">
        <f t="shared" si="27"/>
        <v>8420</v>
      </c>
      <c r="J38" s="1495">
        <f t="shared" ref="J38:P38" si="28">J36+J37</f>
        <v>3389</v>
      </c>
      <c r="K38" s="1496">
        <f t="shared" si="28"/>
        <v>0</v>
      </c>
      <c r="L38" s="1494">
        <f t="shared" si="28"/>
        <v>0</v>
      </c>
      <c r="M38" s="1495">
        <f t="shared" si="28"/>
        <v>0</v>
      </c>
      <c r="N38" s="1496">
        <f t="shared" si="28"/>
        <v>1</v>
      </c>
      <c r="O38" s="1494">
        <f t="shared" si="28"/>
        <v>647</v>
      </c>
      <c r="P38" s="1495">
        <f t="shared" si="28"/>
        <v>0</v>
      </c>
      <c r="Q38" s="1497"/>
      <c r="R38" s="1498"/>
      <c r="S38" s="1499"/>
      <c r="T38" s="1500"/>
      <c r="U38" s="1501"/>
      <c r="V38" s="1491">
        <f t="shared" ref="V38:AB38" si="29">SUM(V36:V37)</f>
        <v>0</v>
      </c>
      <c r="W38" s="1496">
        <f t="shared" si="29"/>
        <v>17</v>
      </c>
      <c r="X38" s="1494">
        <f t="shared" si="29"/>
        <v>1016</v>
      </c>
      <c r="Y38" s="1495">
        <f t="shared" si="29"/>
        <v>472</v>
      </c>
      <c r="Z38" s="1496">
        <f t="shared" si="29"/>
        <v>12</v>
      </c>
      <c r="AA38" s="1494">
        <f t="shared" si="29"/>
        <v>187</v>
      </c>
      <c r="AB38" s="1495">
        <f t="shared" si="29"/>
        <v>137</v>
      </c>
    </row>
    <row r="39" spans="1:28" ht="23.15" customHeight="1">
      <c r="A39" s="1521"/>
      <c r="B39" s="1522"/>
      <c r="C39" s="1523">
        <f t="shared" ref="C39:J40" si="30">+C9+C12+C15+C18+C21+C24+C27+C30+C33+C36</f>
        <v>69</v>
      </c>
      <c r="D39" s="1524">
        <f t="shared" si="30"/>
        <v>14</v>
      </c>
      <c r="E39" s="1525">
        <f t="shared" si="30"/>
        <v>2043794</v>
      </c>
      <c r="F39" s="1526">
        <f t="shared" si="30"/>
        <v>1916658</v>
      </c>
      <c r="G39" s="1523">
        <f t="shared" si="30"/>
        <v>76</v>
      </c>
      <c r="H39" s="1524"/>
      <c r="I39" s="1525">
        <f t="shared" si="30"/>
        <v>103797</v>
      </c>
      <c r="J39" s="1526">
        <f t="shared" si="30"/>
        <v>76595</v>
      </c>
      <c r="K39" s="1527">
        <f t="shared" ref="K39:P40" si="31">K9+K12+K15+K18+K21+K24+K27+K30+K33+K36</f>
        <v>9</v>
      </c>
      <c r="L39" s="1525">
        <f t="shared" si="31"/>
        <v>2323</v>
      </c>
      <c r="M39" s="1526">
        <f t="shared" si="31"/>
        <v>995</v>
      </c>
      <c r="N39" s="1527">
        <f t="shared" si="31"/>
        <v>2</v>
      </c>
      <c r="O39" s="1525">
        <f t="shared" si="31"/>
        <v>3376</v>
      </c>
      <c r="P39" s="1526">
        <f t="shared" si="31"/>
        <v>0</v>
      </c>
      <c r="Q39" s="1528"/>
      <c r="R39" s="1529"/>
      <c r="S39" s="1530"/>
      <c r="T39" s="1531"/>
      <c r="U39" s="1532"/>
      <c r="V39" s="1473"/>
      <c r="W39" s="1527">
        <f t="shared" ref="W39:AB40" si="32">+W9+W12+W15+W18+W21+W24+W27+W30+W33+W36</f>
        <v>17</v>
      </c>
      <c r="X39" s="1525">
        <f t="shared" si="32"/>
        <v>1217</v>
      </c>
      <c r="Y39" s="1526">
        <f t="shared" si="32"/>
        <v>500</v>
      </c>
      <c r="Z39" s="1527">
        <f t="shared" si="32"/>
        <v>34</v>
      </c>
      <c r="AA39" s="1525">
        <f t="shared" si="32"/>
        <v>1121</v>
      </c>
      <c r="AB39" s="1526">
        <f t="shared" si="32"/>
        <v>417</v>
      </c>
    </row>
    <row r="40" spans="1:28" ht="23.15" customHeight="1">
      <c r="A40" s="1521" t="s">
        <v>338</v>
      </c>
      <c r="B40" s="1522">
        <f>SUM(B9:B38)</f>
        <v>2022222</v>
      </c>
      <c r="C40" s="1533">
        <f t="shared" si="30"/>
        <v>6</v>
      </c>
      <c r="D40" s="1534"/>
      <c r="E40" s="1535">
        <f t="shared" si="30"/>
        <v>46143</v>
      </c>
      <c r="F40" s="1536">
        <f t="shared" si="30"/>
        <v>1360</v>
      </c>
      <c r="G40" s="1533">
        <f t="shared" si="30"/>
        <v>48</v>
      </c>
      <c r="H40" s="1534"/>
      <c r="I40" s="1535">
        <f t="shared" si="30"/>
        <v>32208</v>
      </c>
      <c r="J40" s="1536">
        <f t="shared" si="30"/>
        <v>6166</v>
      </c>
      <c r="K40" s="1537">
        <f t="shared" si="31"/>
        <v>33</v>
      </c>
      <c r="L40" s="1535">
        <f t="shared" si="31"/>
        <v>102548</v>
      </c>
      <c r="M40" s="1536">
        <f t="shared" si="31"/>
        <v>836</v>
      </c>
      <c r="N40" s="1537">
        <f t="shared" si="31"/>
        <v>25</v>
      </c>
      <c r="O40" s="1535">
        <f t="shared" si="31"/>
        <v>75470</v>
      </c>
      <c r="P40" s="1536">
        <f t="shared" si="31"/>
        <v>52</v>
      </c>
      <c r="Q40" s="1528">
        <f>C39+C40+G39+G40+K39+K40+N39+N40</f>
        <v>268</v>
      </c>
      <c r="R40" s="1538">
        <f>D39+H39</f>
        <v>14</v>
      </c>
      <c r="S40" s="1530">
        <f>SUM(S9:S38)</f>
        <v>2330813</v>
      </c>
      <c r="T40" s="1531">
        <f>SUM(T9:T38)</f>
        <v>2002610</v>
      </c>
      <c r="U40" s="1532">
        <f>+T40/B40*100</f>
        <v>99.030175717601736</v>
      </c>
      <c r="V40" s="1473"/>
      <c r="W40" s="1537">
        <f t="shared" si="32"/>
        <v>81</v>
      </c>
      <c r="X40" s="1535">
        <f t="shared" si="32"/>
        <v>4847</v>
      </c>
      <c r="Y40" s="1536">
        <f>+Y10+Y13+Y16+Y19+Y22+Y25+Y28+Y31+Y34+Y37</f>
        <v>2598</v>
      </c>
      <c r="Z40" s="1537">
        <f t="shared" si="32"/>
        <v>93</v>
      </c>
      <c r="AA40" s="1535">
        <f t="shared" si="32"/>
        <v>2481</v>
      </c>
      <c r="AB40" s="1536">
        <f t="shared" si="32"/>
        <v>1574</v>
      </c>
    </row>
    <row r="41" spans="1:28" ht="23.15" customHeight="1">
      <c r="A41" s="1539"/>
      <c r="B41" s="1540"/>
      <c r="C41" s="1541">
        <f>+C39+C40-D39</f>
        <v>61</v>
      </c>
      <c r="D41" s="1542"/>
      <c r="E41" s="1543">
        <f>SUM(E39:E40)</f>
        <v>2089937</v>
      </c>
      <c r="F41" s="1544">
        <f>SUM(F39:F40)</f>
        <v>1918018</v>
      </c>
      <c r="G41" s="1541">
        <f>+G39+G40-H39</f>
        <v>124</v>
      </c>
      <c r="H41" s="1542"/>
      <c r="I41" s="1543">
        <f>SUM(I39:I40)</f>
        <v>136005</v>
      </c>
      <c r="J41" s="1544">
        <f>SUM(J39:J40)</f>
        <v>82761</v>
      </c>
      <c r="K41" s="1545">
        <f t="shared" ref="K41:P41" si="33">K39+K40</f>
        <v>42</v>
      </c>
      <c r="L41" s="1543">
        <f>L39+L40</f>
        <v>104871</v>
      </c>
      <c r="M41" s="1544">
        <f t="shared" si="33"/>
        <v>1831</v>
      </c>
      <c r="N41" s="1545">
        <f t="shared" si="33"/>
        <v>27</v>
      </c>
      <c r="O41" s="1543">
        <f t="shared" si="33"/>
        <v>78846</v>
      </c>
      <c r="P41" s="1544">
        <f t="shared" si="33"/>
        <v>52</v>
      </c>
      <c r="Q41" s="1546">
        <f>Q40-R40</f>
        <v>254</v>
      </c>
      <c r="R41" s="1547"/>
      <c r="S41" s="1548"/>
      <c r="T41" s="1549"/>
      <c r="U41" s="1550"/>
      <c r="V41" s="1473"/>
      <c r="W41" s="1545">
        <f t="shared" ref="W41:AB41" si="34">SUM(W39:W40)</f>
        <v>98</v>
      </c>
      <c r="X41" s="1543">
        <f t="shared" si="34"/>
        <v>6064</v>
      </c>
      <c r="Y41" s="1544">
        <f t="shared" si="34"/>
        <v>3098</v>
      </c>
      <c r="Z41" s="1545">
        <f t="shared" si="34"/>
        <v>127</v>
      </c>
      <c r="AA41" s="1543">
        <f t="shared" si="34"/>
        <v>3602</v>
      </c>
      <c r="AB41" s="1544">
        <f t="shared" si="34"/>
        <v>1991</v>
      </c>
    </row>
    <row r="42" spans="1:28" ht="15" customHeight="1"/>
    <row r="43" spans="1:28" ht="23.15" customHeight="1">
      <c r="B43" s="1552" t="s">
        <v>339</v>
      </c>
      <c r="C43" s="1553" t="s">
        <v>340</v>
      </c>
      <c r="D43" s="1554"/>
      <c r="H43" s="1555"/>
      <c r="R43" s="1555"/>
      <c r="T43" s="1411" t="s">
        <v>341</v>
      </c>
      <c r="U43" s="1556"/>
    </row>
    <row r="44" spans="1:28" ht="23.15" customHeight="1">
      <c r="A44" s="1557"/>
      <c r="B44" s="1552" t="s">
        <v>342</v>
      </c>
      <c r="C44" s="1558" t="s">
        <v>343</v>
      </c>
      <c r="D44" s="1559"/>
      <c r="E44" s="1411" t="s">
        <v>344</v>
      </c>
      <c r="H44" s="1555"/>
      <c r="O44" s="1560"/>
      <c r="P44" s="1561"/>
      <c r="Q44" s="1555"/>
      <c r="R44" s="1555"/>
      <c r="U44" s="1556"/>
    </row>
    <row r="45" spans="1:28" ht="23.15" customHeight="1">
      <c r="A45" s="1557"/>
      <c r="B45" s="1552" t="s">
        <v>345</v>
      </c>
      <c r="C45" s="1562" t="s">
        <v>346</v>
      </c>
      <c r="D45" s="1563"/>
      <c r="H45" s="1555"/>
      <c r="Q45" s="1555"/>
      <c r="R45" s="1555"/>
      <c r="U45" s="1556"/>
    </row>
  </sheetData>
  <mergeCells count="44">
    <mergeCell ref="C41:D41"/>
    <mergeCell ref="G41:H41"/>
    <mergeCell ref="Q41:R41"/>
    <mergeCell ref="C43:D43"/>
    <mergeCell ref="C44:D44"/>
    <mergeCell ref="C45:D45"/>
    <mergeCell ref="AA5:AA6"/>
    <mergeCell ref="AB5:AB6"/>
    <mergeCell ref="C7:D7"/>
    <mergeCell ref="G7:H7"/>
    <mergeCell ref="Q7:R7"/>
    <mergeCell ref="A12:A14"/>
    <mergeCell ref="S5:S6"/>
    <mergeCell ref="T5:T6"/>
    <mergeCell ref="W5:W6"/>
    <mergeCell ref="X5:X6"/>
    <mergeCell ref="Y5:Y6"/>
    <mergeCell ref="Z5:Z6"/>
    <mergeCell ref="I5:I6"/>
    <mergeCell ref="J5:J6"/>
    <mergeCell ref="K5:K6"/>
    <mergeCell ref="L5:L6"/>
    <mergeCell ref="M5:M6"/>
    <mergeCell ref="N5:N6"/>
    <mergeCell ref="Q3:T4"/>
    <mergeCell ref="U3:U6"/>
    <mergeCell ref="W3:AB3"/>
    <mergeCell ref="K4:M4"/>
    <mergeCell ref="N4:P4"/>
    <mergeCell ref="W4:Y4"/>
    <mergeCell ref="Z4:AB4"/>
    <mergeCell ref="O5:O6"/>
    <mergeCell ref="P5:P6"/>
    <mergeCell ref="Q5:R6"/>
    <mergeCell ref="A3:A6"/>
    <mergeCell ref="B3:B6"/>
    <mergeCell ref="C3:F4"/>
    <mergeCell ref="G3:J4"/>
    <mergeCell ref="K3:M3"/>
    <mergeCell ref="N3:P3"/>
    <mergeCell ref="C5:D6"/>
    <mergeCell ref="E5:E6"/>
    <mergeCell ref="F5:F6"/>
    <mergeCell ref="G5:H6"/>
  </mergeCells>
  <phoneticPr fontId="6"/>
  <printOptions horizontalCentered="1" gridLinesSet="0"/>
  <pageMargins left="0.65" right="0.19685039370078741" top="0.39370078740157483" bottom="0.59055118110236227" header="0" footer="0"/>
  <pageSetup paperSize="9" scale="75" fitToWidth="2" pageOrder="overThenDown" orientation="portrait" r:id="rId1"/>
  <headerFooter alignWithMargins="0"/>
  <colBreaks count="1" manualBreakCount="1">
    <brk id="13" max="44"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368A8-84CC-4579-999A-3C9A974F5FB1}">
  <dimension ref="A1:AD195"/>
  <sheetViews>
    <sheetView showZeros="0" view="pageBreakPreview" zoomScale="50" zoomScaleNormal="100" zoomScaleSheetLayoutView="50" workbookViewId="0">
      <pane xSplit="2" ySplit="8" topLeftCell="C9" activePane="bottomRight" state="frozen"/>
      <selection activeCell="H24" sqref="H24"/>
      <selection pane="topRight" activeCell="H24" sqref="H24"/>
      <selection pane="bottomLeft" activeCell="H24" sqref="H24"/>
      <selection pane="bottomRight"/>
    </sheetView>
  </sheetViews>
  <sheetFormatPr defaultColWidth="13.453125" defaultRowHeight="18" customHeight="1"/>
  <cols>
    <col min="1" max="1" width="6" style="1551" customWidth="1"/>
    <col min="2" max="2" width="15.81640625" style="1411" customWidth="1"/>
    <col min="3" max="3" width="12.6328125" style="1411" customWidth="1"/>
    <col min="4" max="4" width="4.54296875" style="1411" customWidth="1"/>
    <col min="5" max="5" width="5.1796875" style="1411" customWidth="1"/>
    <col min="6" max="6" width="11.54296875" style="1411" customWidth="1"/>
    <col min="7" max="7" width="11.7265625" style="1564" customWidth="1"/>
    <col min="8" max="8" width="5.6328125" style="1411" customWidth="1"/>
    <col min="9" max="9" width="4.453125" style="1411" customWidth="1"/>
    <col min="10" max="10" width="10.7265625" style="1411" customWidth="1"/>
    <col min="11" max="11" width="11.08984375" style="1411" customWidth="1"/>
    <col min="12" max="13" width="9.1796875" style="1411" customWidth="1"/>
    <col min="14" max="14" width="9.453125" style="1411" customWidth="1"/>
    <col min="15" max="15" width="8.81640625" style="1411" customWidth="1"/>
    <col min="16" max="16" width="7.26953125" style="1411" customWidth="1"/>
    <col min="17" max="17" width="8.54296875" style="1411" customWidth="1"/>
    <col min="18" max="18" width="4.7265625" style="1411" customWidth="1"/>
    <col min="19" max="19" width="5.1796875" style="1411" customWidth="1"/>
    <col min="20" max="21" width="12" style="1411" customWidth="1"/>
    <col min="22" max="22" width="13.08984375" style="1411" customWidth="1"/>
    <col min="23" max="23" width="0.6328125" style="1411" customWidth="1"/>
    <col min="24" max="24" width="6.6328125" style="1411" customWidth="1"/>
    <col min="25" max="26" width="9.1796875" style="1411" customWidth="1"/>
    <col min="27" max="27" width="6.6328125" style="1411" customWidth="1"/>
    <col min="28" max="29" width="9.1796875" style="1411" customWidth="1"/>
    <col min="30" max="16384" width="13.453125" style="1412"/>
  </cols>
  <sheetData>
    <row r="1" spans="1:29" ht="21">
      <c r="A1" s="1410" t="s">
        <v>347</v>
      </c>
      <c r="H1" s="1557"/>
      <c r="T1" s="1557"/>
    </row>
    <row r="2" spans="1:29" ht="6.75" customHeight="1">
      <c r="A2" s="1410"/>
    </row>
    <row r="3" spans="1:29" ht="18" customHeight="1">
      <c r="A3" s="1413" t="s">
        <v>348</v>
      </c>
      <c r="B3" s="1565"/>
      <c r="C3" s="1566"/>
      <c r="D3" s="1414" t="s">
        <v>287</v>
      </c>
      <c r="E3" s="1415"/>
      <c r="F3" s="1415"/>
      <c r="G3" s="1416"/>
      <c r="H3" s="1414" t="s">
        <v>288</v>
      </c>
      <c r="I3" s="1415"/>
      <c r="J3" s="1415"/>
      <c r="K3" s="1416"/>
      <c r="L3" s="1417" t="s">
        <v>349</v>
      </c>
      <c r="M3" s="1418"/>
      <c r="N3" s="1419"/>
      <c r="O3" s="1417" t="s">
        <v>349</v>
      </c>
      <c r="P3" s="1418"/>
      <c r="Q3" s="1419"/>
      <c r="R3" s="1414" t="s">
        <v>290</v>
      </c>
      <c r="S3" s="1415"/>
      <c r="T3" s="1415"/>
      <c r="U3" s="1416"/>
      <c r="V3" s="1567" t="s">
        <v>350</v>
      </c>
      <c r="W3" s="1505"/>
      <c r="X3" s="1417" t="s">
        <v>351</v>
      </c>
      <c r="Y3" s="1418"/>
      <c r="Z3" s="1418"/>
      <c r="AA3" s="1418"/>
      <c r="AB3" s="1418"/>
      <c r="AC3" s="1419"/>
    </row>
    <row r="4" spans="1:29" ht="18" customHeight="1">
      <c r="A4" s="1423"/>
      <c r="B4" s="1423" t="s">
        <v>352</v>
      </c>
      <c r="C4" s="1453" t="s">
        <v>353</v>
      </c>
      <c r="D4" s="1425"/>
      <c r="E4" s="1426"/>
      <c r="F4" s="1426"/>
      <c r="G4" s="1568"/>
      <c r="H4" s="1425"/>
      <c r="I4" s="1426"/>
      <c r="J4" s="1426"/>
      <c r="K4" s="1568"/>
      <c r="L4" s="1417" t="s">
        <v>293</v>
      </c>
      <c r="M4" s="1418"/>
      <c r="N4" s="1419"/>
      <c r="O4" s="1417" t="s">
        <v>354</v>
      </c>
      <c r="P4" s="1418"/>
      <c r="Q4" s="1419"/>
      <c r="R4" s="1425"/>
      <c r="S4" s="1426"/>
      <c r="T4" s="1426"/>
      <c r="U4" s="1568"/>
      <c r="V4" s="1569"/>
      <c r="W4" s="1570"/>
      <c r="X4" s="1417" t="s">
        <v>355</v>
      </c>
      <c r="Y4" s="1418"/>
      <c r="Z4" s="1419"/>
      <c r="AA4" s="1417" t="s">
        <v>356</v>
      </c>
      <c r="AB4" s="1418"/>
      <c r="AC4" s="1419"/>
    </row>
    <row r="5" spans="1:29" s="1579" customFormat="1" ht="18" customHeight="1">
      <c r="A5" s="1423"/>
      <c r="B5" s="1423"/>
      <c r="C5" s="1453" t="s">
        <v>357</v>
      </c>
      <c r="D5" s="1571" t="s">
        <v>358</v>
      </c>
      <c r="E5" s="1572"/>
      <c r="F5" s="1573" t="s">
        <v>298</v>
      </c>
      <c r="G5" s="1574" t="s">
        <v>299</v>
      </c>
      <c r="H5" s="1571" t="s">
        <v>358</v>
      </c>
      <c r="I5" s="1572"/>
      <c r="J5" s="1573" t="s">
        <v>298</v>
      </c>
      <c r="K5" s="1573" t="s">
        <v>299</v>
      </c>
      <c r="L5" s="1567" t="s">
        <v>300</v>
      </c>
      <c r="M5" s="1575" t="s">
        <v>301</v>
      </c>
      <c r="N5" s="1575" t="s">
        <v>302</v>
      </c>
      <c r="O5" s="1567" t="s">
        <v>300</v>
      </c>
      <c r="P5" s="1575" t="s">
        <v>301</v>
      </c>
      <c r="Q5" s="1575" t="s">
        <v>302</v>
      </c>
      <c r="R5" s="1576" t="s">
        <v>303</v>
      </c>
      <c r="S5" s="1577"/>
      <c r="T5" s="1573" t="s">
        <v>298</v>
      </c>
      <c r="U5" s="1573" t="s">
        <v>299</v>
      </c>
      <c r="V5" s="1569"/>
      <c r="W5" s="1578"/>
      <c r="X5" s="1567" t="s">
        <v>300</v>
      </c>
      <c r="Y5" s="1573" t="s">
        <v>298</v>
      </c>
      <c r="Z5" s="1573" t="s">
        <v>299</v>
      </c>
      <c r="AA5" s="1567" t="s">
        <v>300</v>
      </c>
      <c r="AB5" s="1573" t="s">
        <v>298</v>
      </c>
      <c r="AC5" s="1573" t="s">
        <v>299</v>
      </c>
    </row>
    <row r="6" spans="1:29" ht="23.25" customHeight="1">
      <c r="A6" s="1580"/>
      <c r="B6" s="1463"/>
      <c r="C6" s="1471"/>
      <c r="D6" s="1581"/>
      <c r="E6" s="1582"/>
      <c r="F6" s="1583"/>
      <c r="G6" s="1584"/>
      <c r="H6" s="1581"/>
      <c r="I6" s="1582"/>
      <c r="J6" s="1583"/>
      <c r="K6" s="1583"/>
      <c r="L6" s="1583"/>
      <c r="M6" s="1585"/>
      <c r="N6" s="1585"/>
      <c r="O6" s="1583"/>
      <c r="P6" s="1585"/>
      <c r="Q6" s="1585"/>
      <c r="R6" s="1586"/>
      <c r="S6" s="1587"/>
      <c r="T6" s="1583"/>
      <c r="U6" s="1583"/>
      <c r="V6" s="1583"/>
      <c r="W6" s="1570"/>
      <c r="X6" s="1583"/>
      <c r="Y6" s="1583"/>
      <c r="Z6" s="1583"/>
      <c r="AA6" s="1583"/>
      <c r="AB6" s="1583"/>
      <c r="AC6" s="1583"/>
    </row>
    <row r="7" spans="1:29" s="1598" customFormat="1" ht="17.25" customHeight="1">
      <c r="A7" s="1588"/>
      <c r="B7" s="1589"/>
      <c r="C7" s="1590" t="s">
        <v>305</v>
      </c>
      <c r="D7" s="1591" t="s">
        <v>306</v>
      </c>
      <c r="E7" s="1592"/>
      <c r="F7" s="1590" t="s">
        <v>307</v>
      </c>
      <c r="G7" s="1593" t="s">
        <v>308</v>
      </c>
      <c r="H7" s="1591" t="s">
        <v>309</v>
      </c>
      <c r="I7" s="1592"/>
      <c r="J7" s="1590" t="s">
        <v>310</v>
      </c>
      <c r="K7" s="1590" t="s">
        <v>311</v>
      </c>
      <c r="L7" s="1588" t="s">
        <v>312</v>
      </c>
      <c r="M7" s="1590" t="s">
        <v>313</v>
      </c>
      <c r="N7" s="1590" t="s">
        <v>314</v>
      </c>
      <c r="O7" s="1588" t="s">
        <v>315</v>
      </c>
      <c r="P7" s="1590" t="s">
        <v>316</v>
      </c>
      <c r="Q7" s="1590" t="s">
        <v>317</v>
      </c>
      <c r="R7" s="1594" t="s">
        <v>359</v>
      </c>
      <c r="S7" s="1589"/>
      <c r="T7" s="1590" t="s">
        <v>319</v>
      </c>
      <c r="U7" s="1590" t="s">
        <v>320</v>
      </c>
      <c r="V7" s="1595" t="s">
        <v>321</v>
      </c>
      <c r="W7" s="1596"/>
      <c r="X7" s="1597"/>
      <c r="Y7" s="1589"/>
      <c r="Z7" s="1589"/>
      <c r="AA7" s="1589"/>
      <c r="AB7" s="1589"/>
      <c r="AC7" s="1597"/>
    </row>
    <row r="8" spans="1:29" s="1422" customFormat="1" ht="17.25" customHeight="1">
      <c r="A8" s="1462"/>
      <c r="B8" s="1463"/>
      <c r="C8" s="1463" t="s">
        <v>322</v>
      </c>
      <c r="D8" s="1599"/>
      <c r="E8" s="1463" t="s">
        <v>323</v>
      </c>
      <c r="F8" s="1463" t="s">
        <v>322</v>
      </c>
      <c r="G8" s="1600" t="s">
        <v>322</v>
      </c>
      <c r="H8" s="1601"/>
      <c r="I8" s="1463" t="s">
        <v>323</v>
      </c>
      <c r="J8" s="1463" t="s">
        <v>322</v>
      </c>
      <c r="K8" s="1463" t="s">
        <v>322</v>
      </c>
      <c r="L8" s="1462" t="s">
        <v>323</v>
      </c>
      <c r="M8" s="1463" t="s">
        <v>322</v>
      </c>
      <c r="N8" s="1463" t="s">
        <v>322</v>
      </c>
      <c r="O8" s="1462" t="s">
        <v>323</v>
      </c>
      <c r="P8" s="1463" t="s">
        <v>322</v>
      </c>
      <c r="Q8" s="1463" t="s">
        <v>322</v>
      </c>
      <c r="R8" s="1602" t="s">
        <v>360</v>
      </c>
      <c r="S8" s="1603"/>
      <c r="T8" s="1463" t="s">
        <v>322</v>
      </c>
      <c r="U8" s="1471" t="s">
        <v>326</v>
      </c>
      <c r="V8" s="1604" t="s">
        <v>327</v>
      </c>
      <c r="W8" s="1570"/>
      <c r="X8" s="1462" t="s">
        <v>323</v>
      </c>
      <c r="Y8" s="1463" t="s">
        <v>322</v>
      </c>
      <c r="Z8" s="1463" t="s">
        <v>322</v>
      </c>
      <c r="AA8" s="1463" t="s">
        <v>323</v>
      </c>
      <c r="AB8" s="1463" t="s">
        <v>322</v>
      </c>
      <c r="AC8" s="1462" t="s">
        <v>322</v>
      </c>
    </row>
    <row r="9" spans="1:29" ht="17.25" customHeight="1">
      <c r="A9" s="1605" t="s">
        <v>361</v>
      </c>
      <c r="B9" s="1606" t="s">
        <v>362</v>
      </c>
      <c r="C9" s="1505"/>
      <c r="D9" s="1607">
        <v>1</v>
      </c>
      <c r="E9" s="1608"/>
      <c r="F9" s="1609">
        <v>41004</v>
      </c>
      <c r="G9" s="1610">
        <v>40052</v>
      </c>
      <c r="H9" s="1611">
        <v>1</v>
      </c>
      <c r="I9" s="1612"/>
      <c r="J9" s="1609">
        <v>750</v>
      </c>
      <c r="K9" s="1610">
        <v>736</v>
      </c>
      <c r="L9" s="1505">
        <v>0</v>
      </c>
      <c r="M9" s="1505">
        <v>0</v>
      </c>
      <c r="N9" s="1505">
        <v>0</v>
      </c>
      <c r="O9" s="1503">
        <v>0</v>
      </c>
      <c r="P9" s="1473">
        <v>0</v>
      </c>
      <c r="Q9" s="1473">
        <v>0</v>
      </c>
      <c r="R9" s="1479">
        <v>0</v>
      </c>
      <c r="S9" s="1473">
        <v>0</v>
      </c>
      <c r="T9" s="1505">
        <v>0</v>
      </c>
      <c r="U9" s="1473">
        <v>0</v>
      </c>
      <c r="V9" s="1505">
        <v>0</v>
      </c>
      <c r="W9" s="1505"/>
      <c r="X9" s="1610">
        <v>0</v>
      </c>
      <c r="Y9" s="1610">
        <v>0</v>
      </c>
      <c r="Z9" s="1610">
        <v>0</v>
      </c>
      <c r="AA9" s="1609">
        <v>0</v>
      </c>
      <c r="AB9" s="1609">
        <v>0</v>
      </c>
      <c r="AC9" s="1610">
        <v>0</v>
      </c>
    </row>
    <row r="10" spans="1:29" ht="17.25" customHeight="1">
      <c r="A10" s="1605" t="s">
        <v>363</v>
      </c>
      <c r="B10" s="1613"/>
      <c r="C10" s="1614">
        <v>40982</v>
      </c>
      <c r="D10" s="1615">
        <v>0</v>
      </c>
      <c r="E10" s="1616"/>
      <c r="F10" s="1617">
        <v>0</v>
      </c>
      <c r="G10" s="1618">
        <v>0</v>
      </c>
      <c r="H10" s="1615">
        <v>0</v>
      </c>
      <c r="I10" s="1616"/>
      <c r="J10" s="1617">
        <v>0</v>
      </c>
      <c r="K10" s="1617">
        <v>0</v>
      </c>
      <c r="L10" s="1618">
        <v>0</v>
      </c>
      <c r="M10" s="1618">
        <v>0</v>
      </c>
      <c r="N10" s="1618">
        <v>0</v>
      </c>
      <c r="O10" s="1618">
        <v>0</v>
      </c>
      <c r="P10" s="1617">
        <v>0</v>
      </c>
      <c r="Q10" s="1617">
        <v>0</v>
      </c>
      <c r="R10" s="1497">
        <v>2</v>
      </c>
      <c r="S10" s="1619">
        <v>0</v>
      </c>
      <c r="T10" s="1510">
        <v>41754</v>
      </c>
      <c r="U10" s="1491">
        <v>40788</v>
      </c>
      <c r="V10" s="1620">
        <v>99.526621443560586</v>
      </c>
      <c r="W10" s="1505"/>
      <c r="X10" s="1618">
        <v>2</v>
      </c>
      <c r="Y10" s="1617">
        <v>164</v>
      </c>
      <c r="Z10" s="1617">
        <v>129</v>
      </c>
      <c r="AA10" s="1617">
        <v>2</v>
      </c>
      <c r="AB10" s="1617">
        <v>72</v>
      </c>
      <c r="AC10" s="1618">
        <v>57</v>
      </c>
    </row>
    <row r="11" spans="1:29" ht="17.25" customHeight="1">
      <c r="A11" s="1605"/>
      <c r="B11" s="1606" t="s">
        <v>364</v>
      </c>
      <c r="C11" s="1505"/>
      <c r="D11" s="1607">
        <v>3</v>
      </c>
      <c r="E11" s="1608">
        <v>2</v>
      </c>
      <c r="F11" s="1609">
        <v>99425</v>
      </c>
      <c r="G11" s="1610">
        <v>97888</v>
      </c>
      <c r="H11" s="1611">
        <v>0</v>
      </c>
      <c r="I11" s="1612"/>
      <c r="J11" s="1609">
        <v>0</v>
      </c>
      <c r="K11" s="1610">
        <v>0</v>
      </c>
      <c r="L11" s="1505">
        <v>1</v>
      </c>
      <c r="M11" s="1473">
        <v>300</v>
      </c>
      <c r="N11" s="1473">
        <v>0</v>
      </c>
      <c r="O11" s="1503">
        <v>0</v>
      </c>
      <c r="P11" s="1473">
        <v>0</v>
      </c>
      <c r="Q11" s="1473">
        <v>0</v>
      </c>
      <c r="R11" s="1479">
        <v>0</v>
      </c>
      <c r="S11" s="1473">
        <v>0</v>
      </c>
      <c r="T11" s="1505">
        <v>0</v>
      </c>
      <c r="U11" s="1473">
        <v>0</v>
      </c>
      <c r="V11" s="1505">
        <v>0</v>
      </c>
      <c r="W11" s="1505"/>
      <c r="X11" s="1610">
        <v>2</v>
      </c>
      <c r="Y11" s="1609">
        <v>120</v>
      </c>
      <c r="Z11" s="1609">
        <v>18</v>
      </c>
      <c r="AA11" s="1609">
        <v>4</v>
      </c>
      <c r="AB11" s="1609">
        <v>99</v>
      </c>
      <c r="AC11" s="1610">
        <v>37</v>
      </c>
    </row>
    <row r="12" spans="1:29" ht="17.25" customHeight="1">
      <c r="A12" s="1605"/>
      <c r="B12" s="1613"/>
      <c r="C12" s="1614">
        <v>98108</v>
      </c>
      <c r="D12" s="1615">
        <v>0</v>
      </c>
      <c r="E12" s="1616"/>
      <c r="F12" s="1617">
        <v>0</v>
      </c>
      <c r="G12" s="1618">
        <v>0</v>
      </c>
      <c r="H12" s="1615">
        <v>1</v>
      </c>
      <c r="I12" s="1616"/>
      <c r="J12" s="1617">
        <v>1498</v>
      </c>
      <c r="K12" s="1617">
        <v>100</v>
      </c>
      <c r="L12" s="1618">
        <v>0</v>
      </c>
      <c r="M12" s="1617">
        <v>0</v>
      </c>
      <c r="N12" s="1617">
        <v>0</v>
      </c>
      <c r="O12" s="1618">
        <v>0</v>
      </c>
      <c r="P12" s="1617">
        <v>0</v>
      </c>
      <c r="Q12" s="1617">
        <v>0</v>
      </c>
      <c r="R12" s="1497">
        <v>5</v>
      </c>
      <c r="S12" s="1619">
        <v>2</v>
      </c>
      <c r="T12" s="1510">
        <v>101223</v>
      </c>
      <c r="U12" s="1491">
        <v>97988</v>
      </c>
      <c r="V12" s="1620">
        <v>99.87768581563175</v>
      </c>
      <c r="W12" s="1505"/>
      <c r="X12" s="1618">
        <v>0</v>
      </c>
      <c r="Y12" s="1617">
        <v>0</v>
      </c>
      <c r="Z12" s="1617">
        <v>0</v>
      </c>
      <c r="AA12" s="1617">
        <v>0</v>
      </c>
      <c r="AB12" s="1617">
        <v>0</v>
      </c>
      <c r="AC12" s="1618">
        <v>0</v>
      </c>
    </row>
    <row r="13" spans="1:29" ht="17.25" customHeight="1">
      <c r="A13" s="1605"/>
      <c r="B13" s="1606" t="s">
        <v>365</v>
      </c>
      <c r="C13" s="1505"/>
      <c r="D13" s="1607">
        <v>1</v>
      </c>
      <c r="E13" s="1608"/>
      <c r="F13" s="1609">
        <v>5300</v>
      </c>
      <c r="G13" s="1610">
        <v>3624</v>
      </c>
      <c r="H13" s="1611">
        <v>1</v>
      </c>
      <c r="I13" s="1612"/>
      <c r="J13" s="1609">
        <v>165</v>
      </c>
      <c r="K13" s="1610">
        <v>90</v>
      </c>
      <c r="L13" s="1505">
        <v>0</v>
      </c>
      <c r="M13" s="1473">
        <v>0</v>
      </c>
      <c r="N13" s="1473">
        <v>0</v>
      </c>
      <c r="O13" s="1503">
        <v>0</v>
      </c>
      <c r="P13" s="1473">
        <v>0</v>
      </c>
      <c r="Q13" s="1473">
        <v>0</v>
      </c>
      <c r="R13" s="1479">
        <v>0</v>
      </c>
      <c r="S13" s="1473">
        <v>0</v>
      </c>
      <c r="T13" s="1505">
        <v>0</v>
      </c>
      <c r="U13" s="1473">
        <v>0</v>
      </c>
      <c r="V13" s="1505">
        <v>0</v>
      </c>
      <c r="W13" s="1505"/>
      <c r="X13" s="1610">
        <v>0</v>
      </c>
      <c r="Y13" s="1609">
        <v>0</v>
      </c>
      <c r="Z13" s="1609">
        <v>0</v>
      </c>
      <c r="AA13" s="1609">
        <v>0</v>
      </c>
      <c r="AB13" s="1609">
        <v>0</v>
      </c>
      <c r="AC13" s="1610">
        <v>0</v>
      </c>
    </row>
    <row r="14" spans="1:29" ht="17.25" customHeight="1">
      <c r="A14" s="1605"/>
      <c r="B14" s="1613"/>
      <c r="C14" s="1614">
        <v>4245</v>
      </c>
      <c r="D14" s="1615">
        <v>0</v>
      </c>
      <c r="E14" s="1616"/>
      <c r="F14" s="1617">
        <v>0</v>
      </c>
      <c r="G14" s="1618">
        <v>0</v>
      </c>
      <c r="H14" s="1615">
        <v>2</v>
      </c>
      <c r="I14" s="1616"/>
      <c r="J14" s="1617">
        <v>1120</v>
      </c>
      <c r="K14" s="1617">
        <v>280</v>
      </c>
      <c r="L14" s="1618">
        <v>0</v>
      </c>
      <c r="M14" s="1617">
        <v>0</v>
      </c>
      <c r="N14" s="1617">
        <v>0</v>
      </c>
      <c r="O14" s="1618">
        <v>0</v>
      </c>
      <c r="P14" s="1617">
        <v>0</v>
      </c>
      <c r="Q14" s="1617">
        <v>0</v>
      </c>
      <c r="R14" s="1497">
        <v>4</v>
      </c>
      <c r="S14" s="1619">
        <v>0</v>
      </c>
      <c r="T14" s="1510">
        <v>6585</v>
      </c>
      <c r="U14" s="1491">
        <v>3994</v>
      </c>
      <c r="V14" s="1620">
        <v>94.08716136631331</v>
      </c>
      <c r="W14" s="1505"/>
      <c r="X14" s="1618">
        <v>4</v>
      </c>
      <c r="Y14" s="1617">
        <v>324</v>
      </c>
      <c r="Z14" s="1617">
        <v>199</v>
      </c>
      <c r="AA14" s="1617">
        <v>3</v>
      </c>
      <c r="AB14" s="1617">
        <v>127</v>
      </c>
      <c r="AC14" s="1618">
        <v>49</v>
      </c>
    </row>
    <row r="15" spans="1:29" ht="17.25" customHeight="1">
      <c r="A15" s="1605"/>
      <c r="B15" s="1606" t="s">
        <v>366</v>
      </c>
      <c r="C15" s="1505"/>
      <c r="D15" s="1607">
        <v>1</v>
      </c>
      <c r="E15" s="1608">
        <v>1</v>
      </c>
      <c r="F15" s="1609">
        <v>10528</v>
      </c>
      <c r="G15" s="1610">
        <v>9053</v>
      </c>
      <c r="H15" s="1611">
        <v>2</v>
      </c>
      <c r="I15" s="1612"/>
      <c r="J15" s="1609">
        <v>1390</v>
      </c>
      <c r="K15" s="1610">
        <v>742</v>
      </c>
      <c r="L15" s="1505">
        <v>1</v>
      </c>
      <c r="M15" s="1473">
        <v>400</v>
      </c>
      <c r="N15" s="1473">
        <v>86</v>
      </c>
      <c r="O15" s="1503">
        <v>0</v>
      </c>
      <c r="P15" s="1473">
        <v>0</v>
      </c>
      <c r="Q15" s="1473">
        <v>0</v>
      </c>
      <c r="R15" s="1479">
        <v>0</v>
      </c>
      <c r="S15" s="1473">
        <v>0</v>
      </c>
      <c r="T15" s="1505">
        <v>0</v>
      </c>
      <c r="U15" s="1473">
        <v>0</v>
      </c>
      <c r="V15" s="1505">
        <v>0</v>
      </c>
      <c r="W15" s="1505"/>
      <c r="X15" s="1610">
        <v>2</v>
      </c>
      <c r="Y15" s="1609">
        <v>150</v>
      </c>
      <c r="Z15" s="1609">
        <v>80</v>
      </c>
      <c r="AA15" s="1609">
        <v>1</v>
      </c>
      <c r="AB15" s="1609">
        <v>30</v>
      </c>
      <c r="AC15" s="1610">
        <v>21</v>
      </c>
    </row>
    <row r="16" spans="1:29" ht="17.25" customHeight="1">
      <c r="A16" s="1605"/>
      <c r="B16" s="1613"/>
      <c r="C16" s="1614">
        <v>10000</v>
      </c>
      <c r="D16" s="1615">
        <v>0</v>
      </c>
      <c r="E16" s="1616"/>
      <c r="F16" s="1617">
        <v>0</v>
      </c>
      <c r="G16" s="1618">
        <v>0</v>
      </c>
      <c r="H16" s="1615">
        <v>0</v>
      </c>
      <c r="I16" s="1616"/>
      <c r="J16" s="1617">
        <v>0</v>
      </c>
      <c r="K16" s="1617">
        <v>0</v>
      </c>
      <c r="L16" s="1618">
        <v>0</v>
      </c>
      <c r="M16" s="1617">
        <v>0</v>
      </c>
      <c r="N16" s="1617">
        <v>0</v>
      </c>
      <c r="O16" s="1618">
        <v>0</v>
      </c>
      <c r="P16" s="1617">
        <v>0</v>
      </c>
      <c r="Q16" s="1617">
        <v>0</v>
      </c>
      <c r="R16" s="1479">
        <v>4</v>
      </c>
      <c r="S16" s="1621">
        <v>1</v>
      </c>
      <c r="T16" s="1505">
        <v>12318</v>
      </c>
      <c r="U16" s="1473">
        <v>9881</v>
      </c>
      <c r="V16" s="1622">
        <v>98.81</v>
      </c>
      <c r="W16" s="1505"/>
      <c r="X16" s="1618">
        <v>0</v>
      </c>
      <c r="Y16" s="1617">
        <v>0</v>
      </c>
      <c r="Z16" s="1617">
        <v>0</v>
      </c>
      <c r="AA16" s="1617">
        <v>1</v>
      </c>
      <c r="AB16" s="1617">
        <v>20</v>
      </c>
      <c r="AC16" s="1618">
        <v>10</v>
      </c>
    </row>
    <row r="17" spans="1:29" ht="17.25" customHeight="1">
      <c r="A17" s="1605"/>
      <c r="B17" s="1606" t="s">
        <v>367</v>
      </c>
      <c r="C17" s="1505"/>
      <c r="D17" s="1607">
        <v>0</v>
      </c>
      <c r="E17" s="1608"/>
      <c r="F17" s="1609">
        <v>0</v>
      </c>
      <c r="G17" s="1610">
        <v>0</v>
      </c>
      <c r="H17" s="1611">
        <v>1</v>
      </c>
      <c r="I17" s="1612"/>
      <c r="J17" s="1609">
        <v>4750</v>
      </c>
      <c r="K17" s="1610">
        <v>3819</v>
      </c>
      <c r="L17" s="1505">
        <v>0</v>
      </c>
      <c r="M17" s="1473">
        <v>0</v>
      </c>
      <c r="N17" s="1473">
        <v>0</v>
      </c>
      <c r="O17" s="1503">
        <v>0</v>
      </c>
      <c r="P17" s="1473">
        <v>0</v>
      </c>
      <c r="Q17" s="1473">
        <v>0</v>
      </c>
      <c r="R17" s="1623">
        <v>0</v>
      </c>
      <c r="S17" s="1624">
        <v>0</v>
      </c>
      <c r="T17" s="1503">
        <v>0</v>
      </c>
      <c r="U17" s="1624">
        <v>0</v>
      </c>
      <c r="V17" s="1503">
        <v>0</v>
      </c>
      <c r="W17" s="1505"/>
      <c r="X17" s="1610">
        <v>0</v>
      </c>
      <c r="Y17" s="1609">
        <v>0</v>
      </c>
      <c r="Z17" s="1609">
        <v>0</v>
      </c>
      <c r="AA17" s="1609">
        <v>0</v>
      </c>
      <c r="AB17" s="1609">
        <v>0</v>
      </c>
      <c r="AC17" s="1610">
        <v>0</v>
      </c>
    </row>
    <row r="18" spans="1:29" ht="17.25" customHeight="1">
      <c r="A18" s="1605"/>
      <c r="B18" s="1613"/>
      <c r="C18" s="1614">
        <v>3825</v>
      </c>
      <c r="D18" s="1615">
        <v>0</v>
      </c>
      <c r="E18" s="1616"/>
      <c r="F18" s="1617">
        <v>0</v>
      </c>
      <c r="G18" s="1618">
        <v>0</v>
      </c>
      <c r="H18" s="1615">
        <v>1</v>
      </c>
      <c r="I18" s="1616"/>
      <c r="J18" s="1617">
        <v>415</v>
      </c>
      <c r="K18" s="1617">
        <v>6</v>
      </c>
      <c r="L18" s="1618">
        <v>0</v>
      </c>
      <c r="M18" s="1617">
        <v>0</v>
      </c>
      <c r="N18" s="1617">
        <v>0</v>
      </c>
      <c r="O18" s="1618">
        <v>0</v>
      </c>
      <c r="P18" s="1617">
        <v>0</v>
      </c>
      <c r="Q18" s="1617">
        <v>0</v>
      </c>
      <c r="R18" s="1497">
        <v>2</v>
      </c>
      <c r="S18" s="1619">
        <v>0</v>
      </c>
      <c r="T18" s="1510">
        <v>5165</v>
      </c>
      <c r="U18" s="1491">
        <v>3825</v>
      </c>
      <c r="V18" s="1620">
        <v>100</v>
      </c>
      <c r="W18" s="1510"/>
      <c r="X18" s="1618">
        <v>0</v>
      </c>
      <c r="Y18" s="1617">
        <v>0</v>
      </c>
      <c r="Z18" s="1617">
        <v>0</v>
      </c>
      <c r="AA18" s="1617">
        <v>0</v>
      </c>
      <c r="AB18" s="1617">
        <v>0</v>
      </c>
      <c r="AC18" s="1618">
        <v>0</v>
      </c>
    </row>
    <row r="19" spans="1:29" ht="17.25" customHeight="1">
      <c r="A19" s="1605"/>
      <c r="B19" s="1606" t="s">
        <v>368</v>
      </c>
      <c r="C19" s="1505"/>
      <c r="D19" s="1607">
        <v>0</v>
      </c>
      <c r="E19" s="1608"/>
      <c r="F19" s="1609">
        <v>0</v>
      </c>
      <c r="G19" s="1610">
        <v>0</v>
      </c>
      <c r="H19" s="1611">
        <v>1</v>
      </c>
      <c r="I19" s="1612"/>
      <c r="J19" s="1609">
        <v>2950</v>
      </c>
      <c r="K19" s="1610">
        <v>3076</v>
      </c>
      <c r="L19" s="1505">
        <v>0</v>
      </c>
      <c r="M19" s="1473">
        <v>0</v>
      </c>
      <c r="N19" s="1473">
        <v>0</v>
      </c>
      <c r="O19" s="1503">
        <v>0</v>
      </c>
      <c r="P19" s="1473">
        <v>0</v>
      </c>
      <c r="Q19" s="1473">
        <v>0</v>
      </c>
      <c r="R19" s="1479">
        <v>0</v>
      </c>
      <c r="S19" s="1473">
        <v>0</v>
      </c>
      <c r="T19" s="1505">
        <v>0</v>
      </c>
      <c r="U19" s="1473">
        <v>0</v>
      </c>
      <c r="V19" s="1505">
        <v>0</v>
      </c>
      <c r="W19" s="1505"/>
      <c r="X19" s="1610">
        <v>0</v>
      </c>
      <c r="Y19" s="1609">
        <v>0</v>
      </c>
      <c r="Z19" s="1609">
        <v>0</v>
      </c>
      <c r="AA19" s="1609">
        <v>0</v>
      </c>
      <c r="AB19" s="1609">
        <v>0</v>
      </c>
      <c r="AC19" s="1610">
        <v>0</v>
      </c>
    </row>
    <row r="20" spans="1:29" ht="17.25" customHeight="1">
      <c r="A20" s="1605"/>
      <c r="B20" s="1613"/>
      <c r="C20" s="1614">
        <v>3101</v>
      </c>
      <c r="D20" s="1615">
        <v>1</v>
      </c>
      <c r="E20" s="1616"/>
      <c r="F20" s="1617">
        <v>6860</v>
      </c>
      <c r="G20" s="1618">
        <v>25</v>
      </c>
      <c r="H20" s="1615">
        <v>0</v>
      </c>
      <c r="I20" s="1616"/>
      <c r="J20" s="1617">
        <v>0</v>
      </c>
      <c r="K20" s="1617">
        <v>0</v>
      </c>
      <c r="L20" s="1618">
        <v>0</v>
      </c>
      <c r="M20" s="1617">
        <v>0</v>
      </c>
      <c r="N20" s="1617">
        <v>0</v>
      </c>
      <c r="O20" s="1618">
        <v>0</v>
      </c>
      <c r="P20" s="1617">
        <v>0</v>
      </c>
      <c r="Q20" s="1617">
        <v>0</v>
      </c>
      <c r="R20" s="1497">
        <v>2</v>
      </c>
      <c r="S20" s="1619">
        <v>0</v>
      </c>
      <c r="T20" s="1510">
        <v>9810</v>
      </c>
      <c r="U20" s="1491">
        <v>3101</v>
      </c>
      <c r="V20" s="1620">
        <v>100</v>
      </c>
      <c r="W20" s="1505"/>
      <c r="X20" s="1618">
        <v>0</v>
      </c>
      <c r="Y20" s="1617">
        <v>0</v>
      </c>
      <c r="Z20" s="1617">
        <v>0</v>
      </c>
      <c r="AA20" s="1617">
        <v>0</v>
      </c>
      <c r="AB20" s="1617">
        <v>0</v>
      </c>
      <c r="AC20" s="1618">
        <v>0</v>
      </c>
    </row>
    <row r="21" spans="1:29" ht="17.25" customHeight="1">
      <c r="A21" s="1605"/>
      <c r="B21" s="1606" t="s">
        <v>369</v>
      </c>
      <c r="C21" s="1505"/>
      <c r="D21" s="1607">
        <v>0</v>
      </c>
      <c r="E21" s="1608"/>
      <c r="F21" s="1609">
        <v>0</v>
      </c>
      <c r="G21" s="1610">
        <v>0</v>
      </c>
      <c r="H21" s="1611">
        <v>1</v>
      </c>
      <c r="I21" s="1612"/>
      <c r="J21" s="1609">
        <v>1400</v>
      </c>
      <c r="K21" s="1610">
        <v>892</v>
      </c>
      <c r="L21" s="1505">
        <v>0</v>
      </c>
      <c r="M21" s="1473">
        <v>0</v>
      </c>
      <c r="N21" s="1473">
        <v>0</v>
      </c>
      <c r="O21" s="1503">
        <v>0</v>
      </c>
      <c r="P21" s="1473">
        <v>0</v>
      </c>
      <c r="Q21" s="1473">
        <v>0</v>
      </c>
      <c r="R21" s="1479">
        <v>0</v>
      </c>
      <c r="S21" s="1473">
        <v>0</v>
      </c>
      <c r="T21" s="1505">
        <v>0</v>
      </c>
      <c r="U21" s="1473">
        <v>0</v>
      </c>
      <c r="V21" s="1505">
        <v>0</v>
      </c>
      <c r="W21" s="1505"/>
      <c r="X21" s="1610">
        <v>1</v>
      </c>
      <c r="Y21" s="1609">
        <v>90</v>
      </c>
      <c r="Z21" s="1609">
        <v>6</v>
      </c>
      <c r="AA21" s="1609">
        <v>0</v>
      </c>
      <c r="AB21" s="1609">
        <v>0</v>
      </c>
      <c r="AC21" s="1610">
        <v>0</v>
      </c>
    </row>
    <row r="22" spans="1:29" ht="17.25" customHeight="1">
      <c r="A22" s="1605"/>
      <c r="B22" s="1613"/>
      <c r="C22" s="1614">
        <v>921</v>
      </c>
      <c r="D22" s="1615">
        <v>0</v>
      </c>
      <c r="E22" s="1616"/>
      <c r="F22" s="1617">
        <v>0</v>
      </c>
      <c r="G22" s="1618">
        <v>0</v>
      </c>
      <c r="H22" s="1615">
        <v>0</v>
      </c>
      <c r="I22" s="1616"/>
      <c r="J22" s="1617">
        <v>0</v>
      </c>
      <c r="K22" s="1617">
        <v>0</v>
      </c>
      <c r="L22" s="1618">
        <v>0</v>
      </c>
      <c r="M22" s="1617">
        <v>0</v>
      </c>
      <c r="N22" s="1617">
        <v>0</v>
      </c>
      <c r="O22" s="1618">
        <v>0</v>
      </c>
      <c r="P22" s="1617">
        <v>0</v>
      </c>
      <c r="Q22" s="1617">
        <v>0</v>
      </c>
      <c r="R22" s="1497">
        <v>1</v>
      </c>
      <c r="S22" s="1619">
        <v>0</v>
      </c>
      <c r="T22" s="1510">
        <v>1400</v>
      </c>
      <c r="U22" s="1491">
        <v>892</v>
      </c>
      <c r="V22" s="1620">
        <v>96.851248642779581</v>
      </c>
      <c r="W22" s="1505"/>
      <c r="X22" s="1618">
        <v>2</v>
      </c>
      <c r="Y22" s="1617">
        <v>120</v>
      </c>
      <c r="Z22" s="1617">
        <v>11</v>
      </c>
      <c r="AA22" s="1617">
        <v>0</v>
      </c>
      <c r="AB22" s="1617">
        <v>0</v>
      </c>
      <c r="AC22" s="1618">
        <v>0</v>
      </c>
    </row>
    <row r="23" spans="1:29" ht="17.25" customHeight="1">
      <c r="A23" s="1605"/>
      <c r="B23" s="1606" t="s">
        <v>370</v>
      </c>
      <c r="C23" s="1505"/>
      <c r="D23" s="1607">
        <v>0</v>
      </c>
      <c r="E23" s="1608"/>
      <c r="F23" s="1609">
        <v>0</v>
      </c>
      <c r="G23" s="1610">
        <v>0</v>
      </c>
      <c r="H23" s="1611">
        <v>1</v>
      </c>
      <c r="I23" s="1612"/>
      <c r="J23" s="1609">
        <v>860</v>
      </c>
      <c r="K23" s="1610">
        <v>682</v>
      </c>
      <c r="L23" s="1505">
        <v>0</v>
      </c>
      <c r="M23" s="1473">
        <v>0</v>
      </c>
      <c r="N23" s="1473">
        <v>0</v>
      </c>
      <c r="O23" s="1503">
        <v>0</v>
      </c>
      <c r="P23" s="1473">
        <v>0</v>
      </c>
      <c r="Q23" s="1473">
        <v>0</v>
      </c>
      <c r="R23" s="1479">
        <v>0</v>
      </c>
      <c r="S23" s="1473">
        <v>0</v>
      </c>
      <c r="T23" s="1505">
        <v>0</v>
      </c>
      <c r="U23" s="1473">
        <v>0</v>
      </c>
      <c r="V23" s="1505">
        <v>0</v>
      </c>
      <c r="W23" s="1505"/>
      <c r="X23" s="1610">
        <v>0</v>
      </c>
      <c r="Y23" s="1609">
        <v>0</v>
      </c>
      <c r="Z23" s="1609">
        <v>0</v>
      </c>
      <c r="AA23" s="1609">
        <v>0</v>
      </c>
      <c r="AB23" s="1609">
        <v>0</v>
      </c>
      <c r="AC23" s="1610">
        <v>0</v>
      </c>
    </row>
    <row r="24" spans="1:29" ht="17.25" customHeight="1">
      <c r="A24" s="1605"/>
      <c r="B24" s="1613"/>
      <c r="C24" s="1614">
        <v>682</v>
      </c>
      <c r="D24" s="1615">
        <v>0</v>
      </c>
      <c r="E24" s="1616"/>
      <c r="F24" s="1617">
        <v>0</v>
      </c>
      <c r="G24" s="1618">
        <v>0</v>
      </c>
      <c r="H24" s="1615">
        <v>0</v>
      </c>
      <c r="I24" s="1616"/>
      <c r="J24" s="1617">
        <v>0</v>
      </c>
      <c r="K24" s="1617">
        <v>0</v>
      </c>
      <c r="L24" s="1618">
        <v>0</v>
      </c>
      <c r="M24" s="1617">
        <v>0</v>
      </c>
      <c r="N24" s="1617">
        <v>0</v>
      </c>
      <c r="O24" s="1618">
        <v>0</v>
      </c>
      <c r="P24" s="1617">
        <v>0</v>
      </c>
      <c r="Q24" s="1617">
        <v>0</v>
      </c>
      <c r="R24" s="1479">
        <v>1</v>
      </c>
      <c r="S24" s="1555">
        <v>0</v>
      </c>
      <c r="T24" s="1505">
        <v>860</v>
      </c>
      <c r="U24" s="1473">
        <v>682</v>
      </c>
      <c r="V24" s="1622">
        <v>100</v>
      </c>
      <c r="W24" s="1505"/>
      <c r="X24" s="1618">
        <v>0</v>
      </c>
      <c r="Y24" s="1617">
        <v>0</v>
      </c>
      <c r="Z24" s="1617">
        <v>0</v>
      </c>
      <c r="AA24" s="1617">
        <v>0</v>
      </c>
      <c r="AB24" s="1617">
        <v>0</v>
      </c>
      <c r="AC24" s="1618">
        <v>0</v>
      </c>
    </row>
    <row r="25" spans="1:29" ht="17.25" customHeight="1">
      <c r="A25" s="1605"/>
      <c r="B25" s="1606" t="s">
        <v>371</v>
      </c>
      <c r="C25" s="1505"/>
      <c r="D25" s="1607">
        <v>1</v>
      </c>
      <c r="E25" s="1608"/>
      <c r="F25" s="1609">
        <v>19800</v>
      </c>
      <c r="G25" s="1610">
        <v>18557</v>
      </c>
      <c r="H25" s="1611">
        <v>0</v>
      </c>
      <c r="I25" s="1612"/>
      <c r="J25" s="1609">
        <v>0</v>
      </c>
      <c r="K25" s="1610">
        <v>0</v>
      </c>
      <c r="L25" s="1625">
        <v>1</v>
      </c>
      <c r="M25" s="1473">
        <v>224</v>
      </c>
      <c r="N25" s="1473">
        <v>6</v>
      </c>
      <c r="O25" s="1503">
        <v>0</v>
      </c>
      <c r="P25" s="1473">
        <v>0</v>
      </c>
      <c r="Q25" s="1473">
        <v>0</v>
      </c>
      <c r="R25" s="1623">
        <v>0</v>
      </c>
      <c r="S25" s="1624">
        <v>0</v>
      </c>
      <c r="T25" s="1503">
        <v>0</v>
      </c>
      <c r="U25" s="1624">
        <v>0</v>
      </c>
      <c r="V25" s="1503">
        <v>0</v>
      </c>
      <c r="W25" s="1505"/>
      <c r="X25" s="1610">
        <v>0</v>
      </c>
      <c r="Y25" s="1609">
        <v>0</v>
      </c>
      <c r="Z25" s="1609">
        <v>0</v>
      </c>
      <c r="AA25" s="1609">
        <v>0</v>
      </c>
      <c r="AB25" s="1609">
        <v>0</v>
      </c>
      <c r="AC25" s="1610">
        <v>0</v>
      </c>
    </row>
    <row r="26" spans="1:29" ht="17.25" customHeight="1">
      <c r="A26" s="1605"/>
      <c r="B26" s="1613"/>
      <c r="C26" s="1614">
        <v>19708</v>
      </c>
      <c r="D26" s="1615">
        <v>0</v>
      </c>
      <c r="E26" s="1616"/>
      <c r="F26" s="1617">
        <v>0</v>
      </c>
      <c r="G26" s="1618">
        <v>0</v>
      </c>
      <c r="H26" s="1615">
        <v>10</v>
      </c>
      <c r="I26" s="1616"/>
      <c r="J26" s="1617">
        <v>7120</v>
      </c>
      <c r="K26" s="1617">
        <v>815</v>
      </c>
      <c r="L26" s="1618">
        <v>8</v>
      </c>
      <c r="M26" s="1617">
        <v>87738</v>
      </c>
      <c r="N26" s="1617">
        <v>291</v>
      </c>
      <c r="O26" s="1618">
        <v>5</v>
      </c>
      <c r="P26" s="1617">
        <v>4250</v>
      </c>
      <c r="Q26" s="1617">
        <v>52</v>
      </c>
      <c r="R26" s="1479">
        <v>25</v>
      </c>
      <c r="S26" s="1555">
        <v>0</v>
      </c>
      <c r="T26" s="1505">
        <v>114882</v>
      </c>
      <c r="U26" s="1473">
        <v>19669</v>
      </c>
      <c r="V26" s="1622">
        <v>99.802110817941951</v>
      </c>
      <c r="W26" s="1505"/>
      <c r="X26" s="1618">
        <v>2</v>
      </c>
      <c r="Y26" s="1617">
        <v>50</v>
      </c>
      <c r="Z26" s="1617">
        <v>14</v>
      </c>
      <c r="AA26" s="1617">
        <v>0</v>
      </c>
      <c r="AB26" s="1617">
        <v>0</v>
      </c>
      <c r="AC26" s="1618">
        <v>0</v>
      </c>
    </row>
    <row r="27" spans="1:29" ht="17.25" customHeight="1">
      <c r="A27" s="1626"/>
      <c r="B27" s="1606" t="s">
        <v>372</v>
      </c>
      <c r="C27" s="1505"/>
      <c r="D27" s="1607">
        <v>2</v>
      </c>
      <c r="E27" s="1608">
        <v>1</v>
      </c>
      <c r="F27" s="1609">
        <v>15996</v>
      </c>
      <c r="G27" s="1610">
        <v>15273</v>
      </c>
      <c r="H27" s="1611">
        <v>0</v>
      </c>
      <c r="I27" s="1612"/>
      <c r="J27" s="1609">
        <v>0</v>
      </c>
      <c r="K27" s="1610">
        <v>0</v>
      </c>
      <c r="L27" s="1505">
        <v>0</v>
      </c>
      <c r="M27" s="1473">
        <v>0</v>
      </c>
      <c r="N27" s="1473">
        <v>0</v>
      </c>
      <c r="O27" s="1503">
        <v>0</v>
      </c>
      <c r="P27" s="1473">
        <v>0</v>
      </c>
      <c r="Q27" s="1473">
        <v>0</v>
      </c>
      <c r="R27" s="1623">
        <v>0</v>
      </c>
      <c r="S27" s="1624">
        <v>0</v>
      </c>
      <c r="T27" s="1503">
        <v>0</v>
      </c>
      <c r="U27" s="1624">
        <v>0</v>
      </c>
      <c r="V27" s="1503">
        <v>0</v>
      </c>
      <c r="W27" s="1505"/>
      <c r="X27" s="1610">
        <v>0</v>
      </c>
      <c r="Y27" s="1609">
        <v>0</v>
      </c>
      <c r="Z27" s="1609">
        <v>0</v>
      </c>
      <c r="AA27" s="1609">
        <v>0</v>
      </c>
      <c r="AB27" s="1609">
        <v>0</v>
      </c>
      <c r="AC27" s="1610">
        <v>0</v>
      </c>
    </row>
    <row r="28" spans="1:29" ht="17.25" customHeight="1">
      <c r="A28" s="1626"/>
      <c r="B28" s="1613"/>
      <c r="C28" s="1614">
        <v>15512</v>
      </c>
      <c r="D28" s="1615">
        <v>0</v>
      </c>
      <c r="E28" s="1616"/>
      <c r="F28" s="1617">
        <v>0</v>
      </c>
      <c r="G28" s="1618">
        <v>0</v>
      </c>
      <c r="H28" s="1615">
        <v>0</v>
      </c>
      <c r="I28" s="1616"/>
      <c r="J28" s="1617">
        <v>0</v>
      </c>
      <c r="K28" s="1617">
        <v>0</v>
      </c>
      <c r="L28" s="1618">
        <v>1</v>
      </c>
      <c r="M28" s="1617">
        <v>5000</v>
      </c>
      <c r="N28" s="1617">
        <v>237</v>
      </c>
      <c r="O28" s="1618">
        <v>0</v>
      </c>
      <c r="P28" s="1617">
        <v>0</v>
      </c>
      <c r="Q28" s="1617">
        <v>0</v>
      </c>
      <c r="R28" s="1497">
        <v>3</v>
      </c>
      <c r="S28" s="1619">
        <v>1</v>
      </c>
      <c r="T28" s="1510">
        <v>20996</v>
      </c>
      <c r="U28" s="1491">
        <v>15510</v>
      </c>
      <c r="V28" s="1620">
        <v>99.987106756059831</v>
      </c>
      <c r="W28" s="1510"/>
      <c r="X28" s="1618">
        <v>0</v>
      </c>
      <c r="Y28" s="1617">
        <v>0</v>
      </c>
      <c r="Z28" s="1617">
        <v>0</v>
      </c>
      <c r="AA28" s="1617">
        <v>0</v>
      </c>
      <c r="AB28" s="1617">
        <v>0</v>
      </c>
      <c r="AC28" s="1618">
        <v>0</v>
      </c>
    </row>
    <row r="29" spans="1:29" ht="17.25" customHeight="1">
      <c r="A29" s="1626"/>
      <c r="B29" s="1606" t="s">
        <v>373</v>
      </c>
      <c r="C29" s="1505"/>
      <c r="D29" s="1607">
        <v>1</v>
      </c>
      <c r="E29" s="1608"/>
      <c r="F29" s="1609">
        <v>11680</v>
      </c>
      <c r="G29" s="1610">
        <v>6199</v>
      </c>
      <c r="H29" s="1611">
        <v>3</v>
      </c>
      <c r="I29" s="1612"/>
      <c r="J29" s="1609">
        <v>905</v>
      </c>
      <c r="K29" s="1610">
        <v>438</v>
      </c>
      <c r="L29" s="1505">
        <v>0</v>
      </c>
      <c r="M29" s="1473">
        <v>0</v>
      </c>
      <c r="N29" s="1473">
        <v>0</v>
      </c>
      <c r="O29" s="1503">
        <v>0</v>
      </c>
      <c r="P29" s="1473">
        <v>0</v>
      </c>
      <c r="Q29" s="1473">
        <v>0</v>
      </c>
      <c r="R29" s="1479">
        <v>0</v>
      </c>
      <c r="S29" s="1473">
        <v>0</v>
      </c>
      <c r="T29" s="1505">
        <v>0</v>
      </c>
      <c r="U29" s="1473">
        <v>0</v>
      </c>
      <c r="V29" s="1505">
        <v>0</v>
      </c>
      <c r="W29" s="1505"/>
      <c r="X29" s="1610">
        <v>0</v>
      </c>
      <c r="Y29" s="1609">
        <v>0</v>
      </c>
      <c r="Z29" s="1609">
        <v>0</v>
      </c>
      <c r="AA29" s="1609">
        <v>0</v>
      </c>
      <c r="AB29" s="1609">
        <v>0</v>
      </c>
      <c r="AC29" s="1610">
        <v>0</v>
      </c>
    </row>
    <row r="30" spans="1:29" ht="17.25" customHeight="1">
      <c r="A30" s="1626"/>
      <c r="B30" s="1613"/>
      <c r="C30" s="1614">
        <v>6642</v>
      </c>
      <c r="D30" s="1615">
        <v>0</v>
      </c>
      <c r="E30" s="1616"/>
      <c r="F30" s="1617">
        <v>0</v>
      </c>
      <c r="G30" s="1618">
        <v>0</v>
      </c>
      <c r="H30" s="1615">
        <v>0</v>
      </c>
      <c r="I30" s="1616"/>
      <c r="J30" s="1617">
        <v>0</v>
      </c>
      <c r="K30" s="1617">
        <v>0</v>
      </c>
      <c r="L30" s="1618">
        <v>0</v>
      </c>
      <c r="M30" s="1617">
        <v>0</v>
      </c>
      <c r="N30" s="1617">
        <v>0</v>
      </c>
      <c r="O30" s="1618">
        <v>0</v>
      </c>
      <c r="P30" s="1617">
        <v>0</v>
      </c>
      <c r="Q30" s="1617">
        <v>0</v>
      </c>
      <c r="R30" s="1497">
        <v>4</v>
      </c>
      <c r="S30" s="1619">
        <v>0</v>
      </c>
      <c r="T30" s="1510">
        <v>12585</v>
      </c>
      <c r="U30" s="1491">
        <v>6637</v>
      </c>
      <c r="V30" s="1620">
        <v>99.924721469436918</v>
      </c>
      <c r="W30" s="1505"/>
      <c r="X30" s="1618">
        <v>0</v>
      </c>
      <c r="Y30" s="1617">
        <v>0</v>
      </c>
      <c r="Z30" s="1617">
        <v>0</v>
      </c>
      <c r="AA30" s="1617">
        <v>0</v>
      </c>
      <c r="AB30" s="1617">
        <v>0</v>
      </c>
      <c r="AC30" s="1618">
        <v>0</v>
      </c>
    </row>
    <row r="31" spans="1:29" ht="17.25" customHeight="1">
      <c r="A31" s="1627"/>
      <c r="B31" s="1628"/>
      <c r="C31" s="1629">
        <v>0</v>
      </c>
      <c r="D31" s="1630">
        <v>10</v>
      </c>
      <c r="E31" s="1631">
        <v>4</v>
      </c>
      <c r="F31" s="1630">
        <v>203733</v>
      </c>
      <c r="G31" s="1630">
        <v>190646</v>
      </c>
      <c r="H31" s="1630">
        <v>11</v>
      </c>
      <c r="I31" s="1631">
        <v>0</v>
      </c>
      <c r="J31" s="1630">
        <v>13170</v>
      </c>
      <c r="K31" s="1630">
        <v>10475</v>
      </c>
      <c r="L31" s="1632">
        <v>3</v>
      </c>
      <c r="M31" s="1632">
        <v>924</v>
      </c>
      <c r="N31" s="1633">
        <v>92</v>
      </c>
      <c r="O31" s="1633">
        <v>0</v>
      </c>
      <c r="P31" s="1632">
        <v>0</v>
      </c>
      <c r="Q31" s="1633">
        <v>0</v>
      </c>
      <c r="R31" s="1634">
        <v>0</v>
      </c>
      <c r="S31" s="1629">
        <v>0</v>
      </c>
      <c r="T31" s="1635">
        <v>0</v>
      </c>
      <c r="U31" s="1635">
        <v>0</v>
      </c>
      <c r="V31" s="1635">
        <v>0</v>
      </c>
      <c r="W31" s="1505" t="e">
        <v>#REF!</v>
      </c>
      <c r="X31" s="1630">
        <v>5</v>
      </c>
      <c r="Y31" s="1630">
        <v>360</v>
      </c>
      <c r="Z31" s="1630">
        <v>104</v>
      </c>
      <c r="AA31" s="1630">
        <v>5</v>
      </c>
      <c r="AB31" s="1630">
        <v>129</v>
      </c>
      <c r="AC31" s="1635">
        <v>58</v>
      </c>
    </row>
    <row r="32" spans="1:29" ht="19.5" customHeight="1">
      <c r="A32" s="1636"/>
      <c r="B32" s="1637" t="s">
        <v>346</v>
      </c>
      <c r="C32" s="1638">
        <v>203726</v>
      </c>
      <c r="D32" s="1639">
        <v>1</v>
      </c>
      <c r="E32" s="1640">
        <v>0</v>
      </c>
      <c r="F32" s="1639">
        <v>6860</v>
      </c>
      <c r="G32" s="1639">
        <v>25</v>
      </c>
      <c r="H32" s="1639">
        <v>14</v>
      </c>
      <c r="I32" s="1640">
        <v>0</v>
      </c>
      <c r="J32" s="1639">
        <v>10153</v>
      </c>
      <c r="K32" s="1641">
        <v>1201</v>
      </c>
      <c r="L32" s="1642">
        <v>9</v>
      </c>
      <c r="M32" s="1642">
        <v>92738</v>
      </c>
      <c r="N32" s="1643">
        <v>528</v>
      </c>
      <c r="O32" s="1643">
        <v>5</v>
      </c>
      <c r="P32" s="1642">
        <v>4250</v>
      </c>
      <c r="Q32" s="1643">
        <v>52</v>
      </c>
      <c r="R32" s="1642">
        <v>53</v>
      </c>
      <c r="S32" s="1644">
        <v>4</v>
      </c>
      <c r="T32" s="1643">
        <v>327578</v>
      </c>
      <c r="U32" s="1643">
        <v>202967</v>
      </c>
      <c r="V32" s="1645">
        <v>99.627440778300269</v>
      </c>
      <c r="W32" s="1510" t="e">
        <v>#REF!</v>
      </c>
      <c r="X32" s="1639">
        <v>10</v>
      </c>
      <c r="Y32" s="1639">
        <v>658</v>
      </c>
      <c r="Z32" s="1639">
        <v>353</v>
      </c>
      <c r="AA32" s="1639">
        <v>6</v>
      </c>
      <c r="AB32" s="1639">
        <v>219</v>
      </c>
      <c r="AC32" s="1641">
        <v>116</v>
      </c>
    </row>
    <row r="33" spans="1:29" ht="17.25" customHeight="1">
      <c r="A33" s="1626" t="s">
        <v>374</v>
      </c>
      <c r="B33" s="1646" t="s">
        <v>375</v>
      </c>
      <c r="C33" s="1505"/>
      <c r="D33" s="1611">
        <v>3</v>
      </c>
      <c r="E33" s="1612">
        <v>2</v>
      </c>
      <c r="F33" s="1609">
        <v>160023</v>
      </c>
      <c r="G33" s="1610">
        <v>151280</v>
      </c>
      <c r="H33" s="1611">
        <v>0</v>
      </c>
      <c r="I33" s="1612"/>
      <c r="J33" s="1609">
        <v>0</v>
      </c>
      <c r="K33" s="1610">
        <v>0</v>
      </c>
      <c r="L33" s="1505">
        <v>0</v>
      </c>
      <c r="M33" s="1473">
        <v>0</v>
      </c>
      <c r="N33" s="1473">
        <v>0</v>
      </c>
      <c r="O33" s="1505">
        <v>0</v>
      </c>
      <c r="P33" s="1473">
        <v>0</v>
      </c>
      <c r="Q33" s="1473">
        <v>0</v>
      </c>
      <c r="R33" s="1479">
        <v>0</v>
      </c>
      <c r="S33" s="1473">
        <v>0</v>
      </c>
      <c r="T33" s="1473">
        <v>0</v>
      </c>
      <c r="U33" s="1473">
        <v>0</v>
      </c>
      <c r="V33" s="1505">
        <v>0</v>
      </c>
      <c r="W33" s="1505"/>
      <c r="X33" s="1610">
        <v>0</v>
      </c>
      <c r="Y33" s="1609">
        <v>0</v>
      </c>
      <c r="Z33" s="1609">
        <v>0</v>
      </c>
      <c r="AA33" s="1609">
        <v>0</v>
      </c>
      <c r="AB33" s="1609">
        <v>0</v>
      </c>
      <c r="AC33" s="1610">
        <v>0</v>
      </c>
    </row>
    <row r="34" spans="1:29" ht="17.25" customHeight="1">
      <c r="A34" s="1626" t="s">
        <v>376</v>
      </c>
      <c r="B34" s="1613"/>
      <c r="C34" s="1614">
        <v>152281</v>
      </c>
      <c r="D34" s="1615">
        <v>0</v>
      </c>
      <c r="E34" s="1616"/>
      <c r="F34" s="1617">
        <v>0</v>
      </c>
      <c r="G34" s="1618">
        <v>0</v>
      </c>
      <c r="H34" s="1615">
        <v>2</v>
      </c>
      <c r="I34" s="1616"/>
      <c r="J34" s="1617">
        <v>1255</v>
      </c>
      <c r="K34" s="1617">
        <v>216</v>
      </c>
      <c r="L34" s="1618">
        <v>3</v>
      </c>
      <c r="M34" s="1617">
        <v>830</v>
      </c>
      <c r="N34" s="1617">
        <v>0</v>
      </c>
      <c r="O34" s="1618">
        <v>0</v>
      </c>
      <c r="P34" s="1617">
        <v>0</v>
      </c>
      <c r="Q34" s="1617">
        <v>0</v>
      </c>
      <c r="R34" s="1497">
        <v>8</v>
      </c>
      <c r="S34" s="1619">
        <v>2</v>
      </c>
      <c r="T34" s="1510">
        <v>162108</v>
      </c>
      <c r="U34" s="1491">
        <v>151496</v>
      </c>
      <c r="V34" s="1620">
        <v>99.484505617903736</v>
      </c>
      <c r="W34" s="1505"/>
      <c r="X34" s="1618">
        <v>1</v>
      </c>
      <c r="Y34" s="1617">
        <v>20</v>
      </c>
      <c r="Z34" s="1617">
        <v>8</v>
      </c>
      <c r="AA34" s="1617">
        <v>0</v>
      </c>
      <c r="AB34" s="1617">
        <v>0</v>
      </c>
      <c r="AC34" s="1618">
        <v>0</v>
      </c>
    </row>
    <row r="35" spans="1:29" ht="19.5" customHeight="1">
      <c r="A35" s="1626"/>
      <c r="B35" s="1606" t="s">
        <v>377</v>
      </c>
      <c r="C35" s="1505"/>
      <c r="D35" s="1607">
        <v>3</v>
      </c>
      <c r="E35" s="1608">
        <v>2</v>
      </c>
      <c r="F35" s="1609">
        <v>31187</v>
      </c>
      <c r="G35" s="1610">
        <v>29070</v>
      </c>
      <c r="H35" s="1611">
        <v>0</v>
      </c>
      <c r="I35" s="1612"/>
      <c r="J35" s="1609">
        <v>0</v>
      </c>
      <c r="K35" s="1610">
        <v>0</v>
      </c>
      <c r="L35" s="1505">
        <v>0</v>
      </c>
      <c r="M35" s="1473">
        <v>0</v>
      </c>
      <c r="N35" s="1473">
        <v>0</v>
      </c>
      <c r="O35" s="1503">
        <v>0</v>
      </c>
      <c r="P35" s="1473">
        <v>0</v>
      </c>
      <c r="Q35" s="1473">
        <v>0</v>
      </c>
      <c r="R35" s="1479">
        <v>0</v>
      </c>
      <c r="S35" s="1473">
        <v>0</v>
      </c>
      <c r="T35" s="1473">
        <v>0</v>
      </c>
      <c r="U35" s="1473">
        <v>0</v>
      </c>
      <c r="V35" s="1505">
        <v>0</v>
      </c>
      <c r="W35" s="1505"/>
      <c r="X35" s="1610">
        <v>0</v>
      </c>
      <c r="Y35" s="1609">
        <v>0</v>
      </c>
      <c r="Z35" s="1609">
        <v>0</v>
      </c>
      <c r="AA35" s="1609">
        <v>0</v>
      </c>
      <c r="AB35" s="1609">
        <v>0</v>
      </c>
      <c r="AC35" s="1610">
        <v>0</v>
      </c>
    </row>
    <row r="36" spans="1:29" ht="19.5" customHeight="1">
      <c r="A36" s="1626"/>
      <c r="B36" s="1613"/>
      <c r="C36" s="1614">
        <v>29131</v>
      </c>
      <c r="D36" s="1615">
        <v>0</v>
      </c>
      <c r="E36" s="1616"/>
      <c r="F36" s="1617">
        <v>0</v>
      </c>
      <c r="G36" s="1618">
        <v>0</v>
      </c>
      <c r="H36" s="1615">
        <v>0</v>
      </c>
      <c r="I36" s="1616"/>
      <c r="J36" s="1617">
        <v>0</v>
      </c>
      <c r="K36" s="1617">
        <v>0</v>
      </c>
      <c r="L36" s="1618">
        <v>0</v>
      </c>
      <c r="M36" s="1617">
        <v>0</v>
      </c>
      <c r="N36" s="1617">
        <v>0</v>
      </c>
      <c r="O36" s="1618">
        <v>0</v>
      </c>
      <c r="P36" s="1617">
        <v>0</v>
      </c>
      <c r="Q36" s="1617">
        <v>0</v>
      </c>
      <c r="R36" s="1497">
        <v>3</v>
      </c>
      <c r="S36" s="1619">
        <v>2</v>
      </c>
      <c r="T36" s="1510">
        <v>31187</v>
      </c>
      <c r="U36" s="1491">
        <v>29070</v>
      </c>
      <c r="V36" s="1620">
        <v>99.790601077889534</v>
      </c>
      <c r="W36" s="1505"/>
      <c r="X36" s="1618">
        <v>0</v>
      </c>
      <c r="Y36" s="1617">
        <v>0</v>
      </c>
      <c r="Z36" s="1617">
        <v>0</v>
      </c>
      <c r="AA36" s="1617">
        <v>0</v>
      </c>
      <c r="AB36" s="1617">
        <v>0</v>
      </c>
      <c r="AC36" s="1618">
        <v>0</v>
      </c>
    </row>
    <row r="37" spans="1:29" ht="19.5" customHeight="1">
      <c r="A37" s="1626"/>
      <c r="B37" s="1606" t="s">
        <v>378</v>
      </c>
      <c r="C37" s="1505"/>
      <c r="D37" s="1607">
        <v>1</v>
      </c>
      <c r="E37" s="1608"/>
      <c r="F37" s="1609">
        <v>6130</v>
      </c>
      <c r="G37" s="1610">
        <v>5274</v>
      </c>
      <c r="H37" s="1611">
        <v>0</v>
      </c>
      <c r="I37" s="1612"/>
      <c r="J37" s="1609">
        <v>0</v>
      </c>
      <c r="K37" s="1610">
        <v>0</v>
      </c>
      <c r="L37" s="1505">
        <v>0</v>
      </c>
      <c r="M37" s="1473">
        <v>0</v>
      </c>
      <c r="N37" s="1473">
        <v>0</v>
      </c>
      <c r="O37" s="1503">
        <v>0</v>
      </c>
      <c r="P37" s="1473">
        <v>0</v>
      </c>
      <c r="Q37" s="1473">
        <v>0</v>
      </c>
      <c r="R37" s="1479">
        <v>0</v>
      </c>
      <c r="S37" s="1473">
        <v>0</v>
      </c>
      <c r="T37" s="1473">
        <v>0</v>
      </c>
      <c r="U37" s="1473">
        <v>0</v>
      </c>
      <c r="V37" s="1505">
        <v>0</v>
      </c>
      <c r="W37" s="1505"/>
      <c r="X37" s="1610">
        <v>1</v>
      </c>
      <c r="Y37" s="1609">
        <v>55</v>
      </c>
      <c r="Z37" s="1609">
        <v>20</v>
      </c>
      <c r="AA37" s="1609">
        <v>0</v>
      </c>
      <c r="AB37" s="1609">
        <v>0</v>
      </c>
      <c r="AC37" s="1610">
        <v>0</v>
      </c>
    </row>
    <row r="38" spans="1:29" ht="19.5" customHeight="1">
      <c r="A38" s="1626"/>
      <c r="B38" s="1613"/>
      <c r="C38" s="1614">
        <v>5564</v>
      </c>
      <c r="D38" s="1615">
        <v>0</v>
      </c>
      <c r="E38" s="1616"/>
      <c r="F38" s="1617">
        <v>0</v>
      </c>
      <c r="G38" s="1618">
        <v>0</v>
      </c>
      <c r="H38" s="1615">
        <v>0</v>
      </c>
      <c r="I38" s="1616"/>
      <c r="J38" s="1617">
        <v>0</v>
      </c>
      <c r="K38" s="1617">
        <v>0</v>
      </c>
      <c r="L38" s="1618">
        <v>0</v>
      </c>
      <c r="M38" s="1617">
        <v>0</v>
      </c>
      <c r="N38" s="1617">
        <v>0</v>
      </c>
      <c r="O38" s="1618">
        <v>0</v>
      </c>
      <c r="P38" s="1617">
        <v>0</v>
      </c>
      <c r="Q38" s="1617">
        <v>0</v>
      </c>
      <c r="R38" s="1497">
        <v>1</v>
      </c>
      <c r="S38" s="1619">
        <v>0</v>
      </c>
      <c r="T38" s="1510">
        <v>6130</v>
      </c>
      <c r="U38" s="1491">
        <v>5274</v>
      </c>
      <c r="V38" s="1620">
        <v>94.78792235801582</v>
      </c>
      <c r="W38" s="1505"/>
      <c r="X38" s="1618">
        <v>0</v>
      </c>
      <c r="Y38" s="1617">
        <v>0</v>
      </c>
      <c r="Z38" s="1617">
        <v>0</v>
      </c>
      <c r="AA38" s="1617">
        <v>0</v>
      </c>
      <c r="AB38" s="1617">
        <v>0</v>
      </c>
      <c r="AC38" s="1618">
        <v>0</v>
      </c>
    </row>
    <row r="39" spans="1:29" ht="17.25" customHeight="1">
      <c r="A39" s="1626"/>
      <c r="B39" s="1606" t="s">
        <v>379</v>
      </c>
      <c r="C39" s="1505"/>
      <c r="D39" s="1607">
        <v>0</v>
      </c>
      <c r="E39" s="1608"/>
      <c r="F39" s="1609">
        <v>0</v>
      </c>
      <c r="G39" s="1610">
        <v>0</v>
      </c>
      <c r="H39" s="1611">
        <v>1</v>
      </c>
      <c r="I39" s="1612"/>
      <c r="J39" s="1609">
        <v>4740</v>
      </c>
      <c r="K39" s="1610">
        <v>4074</v>
      </c>
      <c r="L39" s="1505">
        <v>0</v>
      </c>
      <c r="M39" s="1473">
        <v>0</v>
      </c>
      <c r="N39" s="1473">
        <v>0</v>
      </c>
      <c r="O39" s="1503">
        <v>0</v>
      </c>
      <c r="P39" s="1473">
        <v>0</v>
      </c>
      <c r="Q39" s="1473">
        <v>0</v>
      </c>
      <c r="R39" s="1479">
        <v>0</v>
      </c>
      <c r="S39" s="1473">
        <v>0</v>
      </c>
      <c r="T39" s="1473">
        <v>0</v>
      </c>
      <c r="U39" s="1473">
        <v>0</v>
      </c>
      <c r="V39" s="1505">
        <v>0</v>
      </c>
      <c r="W39" s="1505"/>
      <c r="X39" s="1610">
        <v>0</v>
      </c>
      <c r="Y39" s="1609">
        <v>0</v>
      </c>
      <c r="Z39" s="1609">
        <v>0</v>
      </c>
      <c r="AA39" s="1609">
        <v>0</v>
      </c>
      <c r="AB39" s="1609">
        <v>0</v>
      </c>
      <c r="AC39" s="1610">
        <v>0</v>
      </c>
    </row>
    <row r="40" spans="1:29" ht="17.25" customHeight="1">
      <c r="A40" s="1626"/>
      <c r="B40" s="1613"/>
      <c r="C40" s="1614">
        <v>4074</v>
      </c>
      <c r="D40" s="1615">
        <v>0</v>
      </c>
      <c r="E40" s="1616"/>
      <c r="F40" s="1617">
        <v>0</v>
      </c>
      <c r="G40" s="1618">
        <v>0</v>
      </c>
      <c r="H40" s="1615">
        <v>0</v>
      </c>
      <c r="I40" s="1616"/>
      <c r="J40" s="1617">
        <v>0</v>
      </c>
      <c r="K40" s="1617">
        <v>0</v>
      </c>
      <c r="L40" s="1618">
        <v>0</v>
      </c>
      <c r="M40" s="1617">
        <v>0</v>
      </c>
      <c r="N40" s="1617">
        <v>0</v>
      </c>
      <c r="O40" s="1618">
        <v>0</v>
      </c>
      <c r="P40" s="1617">
        <v>0</v>
      </c>
      <c r="Q40" s="1617">
        <v>0</v>
      </c>
      <c r="R40" s="1497">
        <v>1</v>
      </c>
      <c r="S40" s="1619">
        <v>0</v>
      </c>
      <c r="T40" s="1510">
        <v>4740</v>
      </c>
      <c r="U40" s="1491">
        <v>4074</v>
      </c>
      <c r="V40" s="1620">
        <v>100</v>
      </c>
      <c r="W40" s="1505"/>
      <c r="X40" s="1618">
        <v>0</v>
      </c>
      <c r="Y40" s="1617">
        <v>0</v>
      </c>
      <c r="Z40" s="1617">
        <v>0</v>
      </c>
      <c r="AA40" s="1617">
        <v>0</v>
      </c>
      <c r="AB40" s="1617">
        <v>0</v>
      </c>
      <c r="AC40" s="1618">
        <v>0</v>
      </c>
    </row>
    <row r="41" spans="1:29" ht="18.75" customHeight="1">
      <c r="A41" s="1627"/>
      <c r="B41" s="1628"/>
      <c r="C41" s="1629">
        <v>0</v>
      </c>
      <c r="D41" s="1632">
        <v>7</v>
      </c>
      <c r="E41" s="1647">
        <v>4</v>
      </c>
      <c r="F41" s="1632">
        <v>197340</v>
      </c>
      <c r="G41" s="1632">
        <v>185624</v>
      </c>
      <c r="H41" s="1632">
        <v>1</v>
      </c>
      <c r="I41" s="1647">
        <v>0</v>
      </c>
      <c r="J41" s="1632">
        <v>4740</v>
      </c>
      <c r="K41" s="1632">
        <v>4074</v>
      </c>
      <c r="L41" s="1630">
        <v>0</v>
      </c>
      <c r="M41" s="1630">
        <v>0</v>
      </c>
      <c r="N41" s="1635">
        <v>0</v>
      </c>
      <c r="O41" s="1635">
        <v>0</v>
      </c>
      <c r="P41" s="1630">
        <v>0</v>
      </c>
      <c r="Q41" s="1635">
        <v>0</v>
      </c>
      <c r="R41" s="1630">
        <v>0</v>
      </c>
      <c r="S41" s="1629">
        <v>0</v>
      </c>
      <c r="T41" s="1630">
        <v>0</v>
      </c>
      <c r="U41" s="1630">
        <v>0</v>
      </c>
      <c r="V41" s="1635">
        <v>0</v>
      </c>
      <c r="W41" s="1505"/>
      <c r="X41" s="1632">
        <v>1</v>
      </c>
      <c r="Y41" s="1632">
        <v>55</v>
      </c>
      <c r="Z41" s="1632">
        <v>20</v>
      </c>
      <c r="AA41" s="1632">
        <v>0</v>
      </c>
      <c r="AB41" s="1632">
        <v>0</v>
      </c>
      <c r="AC41" s="1633">
        <v>0</v>
      </c>
    </row>
    <row r="42" spans="1:29" ht="18.75" customHeight="1">
      <c r="A42" s="1636"/>
      <c r="B42" s="1648" t="s">
        <v>346</v>
      </c>
      <c r="C42" s="1649">
        <v>191050</v>
      </c>
      <c r="D42" s="1639">
        <v>0</v>
      </c>
      <c r="E42" s="1640">
        <v>0</v>
      </c>
      <c r="F42" s="1639">
        <v>0</v>
      </c>
      <c r="G42" s="1639">
        <v>0</v>
      </c>
      <c r="H42" s="1639">
        <v>2</v>
      </c>
      <c r="I42" s="1640">
        <v>0</v>
      </c>
      <c r="J42" s="1639">
        <v>1255</v>
      </c>
      <c r="K42" s="1639">
        <v>216</v>
      </c>
      <c r="L42" s="1639">
        <v>3</v>
      </c>
      <c r="M42" s="1650">
        <v>830</v>
      </c>
      <c r="N42" s="1651">
        <v>0</v>
      </c>
      <c r="O42" s="1641">
        <v>0</v>
      </c>
      <c r="P42" s="1639">
        <v>0</v>
      </c>
      <c r="Q42" s="1641">
        <v>0</v>
      </c>
      <c r="R42" s="1642">
        <v>13</v>
      </c>
      <c r="S42" s="1652">
        <v>4</v>
      </c>
      <c r="T42" s="1642">
        <v>204165</v>
      </c>
      <c r="U42" s="1642">
        <v>189914</v>
      </c>
      <c r="V42" s="1645">
        <v>99.405391258832765</v>
      </c>
      <c r="W42" s="1510"/>
      <c r="X42" s="1639">
        <v>1</v>
      </c>
      <c r="Y42" s="1639">
        <v>20</v>
      </c>
      <c r="Z42" s="1639">
        <v>8</v>
      </c>
      <c r="AA42" s="1639">
        <v>0</v>
      </c>
      <c r="AB42" s="1639">
        <v>0</v>
      </c>
      <c r="AC42" s="1641">
        <v>0</v>
      </c>
    </row>
    <row r="43" spans="1:29" ht="16.5" customHeight="1">
      <c r="A43" s="1605" t="s">
        <v>380</v>
      </c>
      <c r="B43" s="1646" t="s">
        <v>381</v>
      </c>
      <c r="C43" s="1505"/>
      <c r="D43" s="1611">
        <v>1</v>
      </c>
      <c r="E43" s="1612"/>
      <c r="F43" s="1609">
        <v>47800</v>
      </c>
      <c r="G43" s="1610">
        <v>47175</v>
      </c>
      <c r="H43" s="1611">
        <v>0</v>
      </c>
      <c r="I43" s="1612"/>
      <c r="J43" s="1609">
        <v>0</v>
      </c>
      <c r="K43" s="1610">
        <v>0</v>
      </c>
      <c r="L43" s="1505">
        <v>0</v>
      </c>
      <c r="M43" s="1473">
        <v>0</v>
      </c>
      <c r="N43" s="1473">
        <v>0</v>
      </c>
      <c r="O43" s="1505">
        <v>0</v>
      </c>
      <c r="P43" s="1473">
        <v>0</v>
      </c>
      <c r="Q43" s="1473">
        <v>0</v>
      </c>
      <c r="R43" s="1479"/>
      <c r="S43" s="1473"/>
      <c r="T43" s="1473">
        <v>0</v>
      </c>
      <c r="U43" s="1473">
        <v>0</v>
      </c>
      <c r="V43" s="1505">
        <v>0</v>
      </c>
      <c r="W43" s="1505"/>
      <c r="X43" s="1610">
        <v>0</v>
      </c>
      <c r="Y43" s="1609">
        <v>0</v>
      </c>
      <c r="Z43" s="1609">
        <v>0</v>
      </c>
      <c r="AA43" s="1609">
        <v>0</v>
      </c>
      <c r="AB43" s="1609">
        <v>0</v>
      </c>
      <c r="AC43" s="1610">
        <v>0</v>
      </c>
    </row>
    <row r="44" spans="1:29" ht="16.5" customHeight="1">
      <c r="A44" s="1605" t="s">
        <v>382</v>
      </c>
      <c r="B44" s="1613"/>
      <c r="C44" s="1614">
        <v>47314</v>
      </c>
      <c r="D44" s="1615">
        <v>0</v>
      </c>
      <c r="E44" s="1616"/>
      <c r="F44" s="1617">
        <v>0</v>
      </c>
      <c r="G44" s="1618">
        <v>0</v>
      </c>
      <c r="H44" s="1615">
        <v>1</v>
      </c>
      <c r="I44" s="1616"/>
      <c r="J44" s="1617">
        <v>350</v>
      </c>
      <c r="K44" s="1617">
        <v>131</v>
      </c>
      <c r="L44" s="1618">
        <v>1</v>
      </c>
      <c r="M44" s="1617">
        <v>8</v>
      </c>
      <c r="N44" s="1617">
        <v>0</v>
      </c>
      <c r="O44" s="1618">
        <v>0</v>
      </c>
      <c r="P44" s="1617">
        <v>0</v>
      </c>
      <c r="Q44" s="1617">
        <v>0</v>
      </c>
      <c r="R44" s="1497">
        <v>3</v>
      </c>
      <c r="S44" s="1619"/>
      <c r="T44" s="1510">
        <v>48158</v>
      </c>
      <c r="U44" s="1491">
        <v>47306</v>
      </c>
      <c r="V44" s="1653">
        <v>99.983091685336262</v>
      </c>
      <c r="W44" s="1505"/>
      <c r="X44" s="1618">
        <v>0</v>
      </c>
      <c r="Y44" s="1617">
        <v>0</v>
      </c>
      <c r="Z44" s="1617">
        <v>0</v>
      </c>
      <c r="AA44" s="1617">
        <v>0</v>
      </c>
      <c r="AB44" s="1617">
        <v>0</v>
      </c>
      <c r="AC44" s="1618">
        <v>0</v>
      </c>
    </row>
    <row r="45" spans="1:29" ht="17.25" customHeight="1">
      <c r="A45" s="1605"/>
      <c r="B45" s="1606" t="s">
        <v>383</v>
      </c>
      <c r="C45" s="1505"/>
      <c r="D45" s="1607">
        <v>1</v>
      </c>
      <c r="E45" s="1608"/>
      <c r="F45" s="1609">
        <v>50400</v>
      </c>
      <c r="G45" s="1610">
        <v>47749</v>
      </c>
      <c r="H45" s="1611">
        <v>1</v>
      </c>
      <c r="I45" s="1612"/>
      <c r="J45" s="1609">
        <v>229</v>
      </c>
      <c r="K45" s="1610">
        <v>190</v>
      </c>
      <c r="L45" s="1505">
        <v>0</v>
      </c>
      <c r="M45" s="1473">
        <v>0</v>
      </c>
      <c r="N45" s="1473">
        <v>0</v>
      </c>
      <c r="O45" s="1503">
        <v>0</v>
      </c>
      <c r="P45" s="1473">
        <v>0</v>
      </c>
      <c r="Q45" s="1473">
        <v>0</v>
      </c>
      <c r="R45" s="1479"/>
      <c r="S45" s="1473"/>
      <c r="T45" s="1473">
        <v>0</v>
      </c>
      <c r="U45" s="1473">
        <v>0</v>
      </c>
      <c r="V45" s="1505">
        <v>0</v>
      </c>
      <c r="W45" s="1505"/>
      <c r="X45" s="1610">
        <v>0</v>
      </c>
      <c r="Y45" s="1609">
        <v>0</v>
      </c>
      <c r="Z45" s="1609">
        <v>0</v>
      </c>
      <c r="AA45" s="1609">
        <v>0</v>
      </c>
      <c r="AB45" s="1609">
        <v>0</v>
      </c>
      <c r="AC45" s="1610">
        <v>0</v>
      </c>
    </row>
    <row r="46" spans="1:29" ht="17.25" customHeight="1">
      <c r="A46" s="1605"/>
      <c r="B46" s="1613"/>
      <c r="C46" s="1614">
        <v>48005</v>
      </c>
      <c r="D46" s="1615">
        <v>0</v>
      </c>
      <c r="E46" s="1616"/>
      <c r="F46" s="1617">
        <v>0</v>
      </c>
      <c r="G46" s="1618">
        <v>0</v>
      </c>
      <c r="H46" s="1615">
        <v>1</v>
      </c>
      <c r="I46" s="1616"/>
      <c r="J46" s="1617">
        <v>1050</v>
      </c>
      <c r="K46" s="1617">
        <v>17</v>
      </c>
      <c r="L46" s="1618">
        <v>0</v>
      </c>
      <c r="M46" s="1617">
        <v>0</v>
      </c>
      <c r="N46" s="1617">
        <v>0</v>
      </c>
      <c r="O46" s="1618">
        <v>0</v>
      </c>
      <c r="P46" s="1617">
        <v>0</v>
      </c>
      <c r="Q46" s="1617">
        <v>0</v>
      </c>
      <c r="R46" s="1497">
        <v>3</v>
      </c>
      <c r="S46" s="1619"/>
      <c r="T46" s="1510">
        <v>51679</v>
      </c>
      <c r="U46" s="1491">
        <v>47956</v>
      </c>
      <c r="V46" s="1620">
        <v>99.897927299239669</v>
      </c>
      <c r="W46" s="1505"/>
      <c r="X46" s="1618">
        <v>1</v>
      </c>
      <c r="Y46" s="1617">
        <v>60</v>
      </c>
      <c r="Z46" s="1617">
        <v>40</v>
      </c>
      <c r="AA46" s="1617">
        <v>1</v>
      </c>
      <c r="AB46" s="1617">
        <v>17</v>
      </c>
      <c r="AC46" s="1618">
        <v>8</v>
      </c>
    </row>
    <row r="47" spans="1:29" ht="17.25" customHeight="1">
      <c r="A47" s="1654"/>
      <c r="B47" s="1606" t="s">
        <v>384</v>
      </c>
      <c r="C47" s="1505"/>
      <c r="D47" s="1607">
        <v>1</v>
      </c>
      <c r="E47" s="1608"/>
      <c r="F47" s="1609">
        <v>52800</v>
      </c>
      <c r="G47" s="1610">
        <v>52627</v>
      </c>
      <c r="H47" s="1611">
        <v>0</v>
      </c>
      <c r="I47" s="1612"/>
      <c r="J47" s="1609">
        <v>0</v>
      </c>
      <c r="K47" s="1610">
        <v>0</v>
      </c>
      <c r="L47" s="1505">
        <v>0</v>
      </c>
      <c r="M47" s="1473">
        <v>0</v>
      </c>
      <c r="N47" s="1473">
        <v>0</v>
      </c>
      <c r="O47" s="1503">
        <v>0</v>
      </c>
      <c r="P47" s="1473">
        <v>0</v>
      </c>
      <c r="Q47" s="1473">
        <v>0</v>
      </c>
      <c r="R47" s="1479"/>
      <c r="S47" s="1473"/>
      <c r="T47" s="1473">
        <v>0</v>
      </c>
      <c r="U47" s="1473">
        <v>0</v>
      </c>
      <c r="V47" s="1505">
        <v>0</v>
      </c>
      <c r="W47" s="1505"/>
      <c r="X47" s="1610">
        <v>0</v>
      </c>
      <c r="Y47" s="1609">
        <v>0</v>
      </c>
      <c r="Z47" s="1609">
        <v>0</v>
      </c>
      <c r="AA47" s="1609">
        <v>0</v>
      </c>
      <c r="AB47" s="1609">
        <v>0</v>
      </c>
      <c r="AC47" s="1610">
        <v>0</v>
      </c>
    </row>
    <row r="48" spans="1:29" ht="17.25" customHeight="1">
      <c r="A48" s="1654"/>
      <c r="B48" s="1613"/>
      <c r="C48" s="1614">
        <v>54818</v>
      </c>
      <c r="D48" s="1615">
        <v>5</v>
      </c>
      <c r="E48" s="1616"/>
      <c r="F48" s="1617">
        <v>39283</v>
      </c>
      <c r="G48" s="1618">
        <v>1335</v>
      </c>
      <c r="H48" s="1615">
        <v>10</v>
      </c>
      <c r="I48" s="1616"/>
      <c r="J48" s="1617">
        <v>7576</v>
      </c>
      <c r="K48" s="1617">
        <v>694</v>
      </c>
      <c r="L48" s="1618">
        <v>1</v>
      </c>
      <c r="M48" s="1617">
        <v>5</v>
      </c>
      <c r="N48" s="1617">
        <v>5</v>
      </c>
      <c r="O48" s="1618">
        <v>0</v>
      </c>
      <c r="P48" s="1617">
        <v>0</v>
      </c>
      <c r="Q48" s="1617">
        <v>0</v>
      </c>
      <c r="R48" s="1497">
        <v>17</v>
      </c>
      <c r="S48" s="1619"/>
      <c r="T48" s="1510">
        <v>99664</v>
      </c>
      <c r="U48" s="1491">
        <v>54661</v>
      </c>
      <c r="V48" s="1620">
        <v>99.713597723375528</v>
      </c>
      <c r="W48" s="1505"/>
      <c r="X48" s="1618">
        <v>1</v>
      </c>
      <c r="Y48" s="1617">
        <v>94</v>
      </c>
      <c r="Z48" s="1617">
        <v>34</v>
      </c>
      <c r="AA48" s="1617">
        <v>2</v>
      </c>
      <c r="AB48" s="1617">
        <v>88</v>
      </c>
      <c r="AC48" s="1618">
        <v>28</v>
      </c>
    </row>
    <row r="49" spans="1:29" ht="17.25" customHeight="1">
      <c r="A49" s="1654"/>
      <c r="B49" s="1606" t="s">
        <v>385</v>
      </c>
      <c r="C49" s="1505"/>
      <c r="D49" s="1607">
        <v>1</v>
      </c>
      <c r="E49" s="1608"/>
      <c r="F49" s="1609">
        <v>21000</v>
      </c>
      <c r="G49" s="1610">
        <v>18760</v>
      </c>
      <c r="H49" s="1611">
        <v>0</v>
      </c>
      <c r="I49" s="1612"/>
      <c r="J49" s="1609">
        <v>0</v>
      </c>
      <c r="K49" s="1610">
        <v>0</v>
      </c>
      <c r="L49" s="1505">
        <v>0</v>
      </c>
      <c r="M49" s="1473">
        <v>0</v>
      </c>
      <c r="N49" s="1473">
        <v>0</v>
      </c>
      <c r="O49" s="1503">
        <v>0</v>
      </c>
      <c r="P49" s="1473">
        <v>0</v>
      </c>
      <c r="Q49" s="1473">
        <v>0</v>
      </c>
      <c r="R49" s="1479"/>
      <c r="S49" s="1473"/>
      <c r="T49" s="1473">
        <v>0</v>
      </c>
      <c r="U49" s="1473">
        <v>0</v>
      </c>
      <c r="V49" s="1505">
        <v>0</v>
      </c>
      <c r="W49" s="1505"/>
      <c r="X49" s="1610">
        <v>0</v>
      </c>
      <c r="Y49" s="1609">
        <v>0</v>
      </c>
      <c r="Z49" s="1609">
        <v>0</v>
      </c>
      <c r="AA49" s="1609">
        <v>0</v>
      </c>
      <c r="AB49" s="1609">
        <v>0</v>
      </c>
      <c r="AC49" s="1610">
        <v>0</v>
      </c>
    </row>
    <row r="50" spans="1:29" ht="17.25" customHeight="1">
      <c r="A50" s="1605"/>
      <c r="B50" s="1613"/>
      <c r="C50" s="1614">
        <v>18769</v>
      </c>
      <c r="D50" s="1615">
        <v>0</v>
      </c>
      <c r="E50" s="1616"/>
      <c r="F50" s="1617">
        <v>0</v>
      </c>
      <c r="G50" s="1618">
        <v>0</v>
      </c>
      <c r="H50" s="1615">
        <v>0</v>
      </c>
      <c r="I50" s="1616"/>
      <c r="J50" s="1617">
        <v>0</v>
      </c>
      <c r="K50" s="1617">
        <v>0</v>
      </c>
      <c r="L50" s="1618">
        <v>2</v>
      </c>
      <c r="M50" s="1617">
        <v>654</v>
      </c>
      <c r="N50" s="1617">
        <v>0</v>
      </c>
      <c r="O50" s="1618">
        <v>0</v>
      </c>
      <c r="P50" s="1617">
        <v>0</v>
      </c>
      <c r="Q50" s="1617">
        <v>0</v>
      </c>
      <c r="R50" s="1497">
        <v>3</v>
      </c>
      <c r="S50" s="1619"/>
      <c r="T50" s="1510">
        <v>21654</v>
      </c>
      <c r="U50" s="1491">
        <v>18760</v>
      </c>
      <c r="V50" s="1653">
        <v>99.952048590761365</v>
      </c>
      <c r="W50" s="1505"/>
      <c r="X50" s="1618">
        <v>0</v>
      </c>
      <c r="Y50" s="1617">
        <v>0</v>
      </c>
      <c r="Z50" s="1617">
        <v>0</v>
      </c>
      <c r="AA50" s="1617">
        <v>0</v>
      </c>
      <c r="AB50" s="1617">
        <v>0</v>
      </c>
      <c r="AC50" s="1618">
        <v>0</v>
      </c>
    </row>
    <row r="51" spans="1:29" ht="17.25" customHeight="1">
      <c r="A51" s="1605"/>
      <c r="B51" s="1606" t="s">
        <v>386</v>
      </c>
      <c r="C51" s="1505"/>
      <c r="D51" s="1607">
        <v>1</v>
      </c>
      <c r="E51" s="1608"/>
      <c r="F51" s="1609">
        <v>14200</v>
      </c>
      <c r="G51" s="1610">
        <v>13529</v>
      </c>
      <c r="H51" s="1611">
        <v>0</v>
      </c>
      <c r="I51" s="1612"/>
      <c r="J51" s="1609">
        <v>0</v>
      </c>
      <c r="K51" s="1610">
        <v>0</v>
      </c>
      <c r="L51" s="1505">
        <v>0</v>
      </c>
      <c r="M51" s="1473">
        <v>0</v>
      </c>
      <c r="N51" s="1473">
        <v>0</v>
      </c>
      <c r="O51" s="1503">
        <v>0</v>
      </c>
      <c r="P51" s="1473">
        <v>0</v>
      </c>
      <c r="Q51" s="1473">
        <v>0</v>
      </c>
      <c r="R51" s="1479"/>
      <c r="S51" s="1473"/>
      <c r="T51" s="1473">
        <v>0</v>
      </c>
      <c r="U51" s="1473">
        <v>0</v>
      </c>
      <c r="V51" s="1505">
        <v>0</v>
      </c>
      <c r="W51" s="1505"/>
      <c r="X51" s="1610">
        <v>0</v>
      </c>
      <c r="Y51" s="1609">
        <v>0</v>
      </c>
      <c r="Z51" s="1609">
        <v>0</v>
      </c>
      <c r="AA51" s="1609">
        <v>0</v>
      </c>
      <c r="AB51" s="1609">
        <v>0</v>
      </c>
      <c r="AC51" s="1610">
        <v>0</v>
      </c>
    </row>
    <row r="52" spans="1:29" ht="17.25" customHeight="1">
      <c r="A52" s="1605"/>
      <c r="B52" s="1613"/>
      <c r="C52" s="1614">
        <v>13788</v>
      </c>
      <c r="D52" s="1615">
        <v>0</v>
      </c>
      <c r="E52" s="1616"/>
      <c r="F52" s="1617">
        <v>0</v>
      </c>
      <c r="G52" s="1618">
        <v>0</v>
      </c>
      <c r="H52" s="1615">
        <v>0</v>
      </c>
      <c r="I52" s="1616"/>
      <c r="J52" s="1617">
        <v>0</v>
      </c>
      <c r="K52" s="1617">
        <v>0</v>
      </c>
      <c r="L52" s="1618">
        <v>0</v>
      </c>
      <c r="M52" s="1617">
        <v>0</v>
      </c>
      <c r="N52" s="1617">
        <v>0</v>
      </c>
      <c r="O52" s="1618">
        <v>0</v>
      </c>
      <c r="P52" s="1617">
        <v>0</v>
      </c>
      <c r="Q52" s="1617">
        <v>0</v>
      </c>
      <c r="R52" s="1497">
        <v>1</v>
      </c>
      <c r="S52" s="1655"/>
      <c r="T52" s="1510">
        <v>14200</v>
      </c>
      <c r="U52" s="1491">
        <v>13529</v>
      </c>
      <c r="V52" s="1620">
        <v>98.121554975340871</v>
      </c>
      <c r="W52" s="1510"/>
      <c r="X52" s="1618">
        <v>0</v>
      </c>
      <c r="Y52" s="1617">
        <v>0</v>
      </c>
      <c r="Z52" s="1617">
        <v>0</v>
      </c>
      <c r="AA52" s="1617">
        <v>0</v>
      </c>
      <c r="AB52" s="1617">
        <v>0</v>
      </c>
      <c r="AC52" s="1618">
        <v>0</v>
      </c>
    </row>
    <row r="53" spans="1:29" ht="17.25" customHeight="1">
      <c r="A53" s="1605"/>
      <c r="B53" s="1606" t="s">
        <v>387</v>
      </c>
      <c r="C53" s="1505"/>
      <c r="D53" s="1607">
        <v>1</v>
      </c>
      <c r="E53" s="1608"/>
      <c r="F53" s="1609">
        <v>7610</v>
      </c>
      <c r="G53" s="1610">
        <v>7573</v>
      </c>
      <c r="H53" s="1611">
        <v>0</v>
      </c>
      <c r="I53" s="1612"/>
      <c r="J53" s="1609">
        <v>0</v>
      </c>
      <c r="K53" s="1610">
        <v>0</v>
      </c>
      <c r="L53" s="1505">
        <v>0</v>
      </c>
      <c r="M53" s="1473">
        <v>0</v>
      </c>
      <c r="N53" s="1473">
        <v>0</v>
      </c>
      <c r="O53" s="1503">
        <v>0</v>
      </c>
      <c r="P53" s="1473">
        <v>0</v>
      </c>
      <c r="Q53" s="1473">
        <v>0</v>
      </c>
      <c r="R53" s="1479"/>
      <c r="S53" s="1473"/>
      <c r="T53" s="1473">
        <v>0</v>
      </c>
      <c r="U53" s="1473">
        <v>0</v>
      </c>
      <c r="V53" s="1505">
        <v>0</v>
      </c>
      <c r="W53" s="1505"/>
      <c r="X53" s="1610">
        <v>0</v>
      </c>
      <c r="Y53" s="1609">
        <v>0</v>
      </c>
      <c r="Z53" s="1609">
        <v>0</v>
      </c>
      <c r="AA53" s="1609">
        <v>0</v>
      </c>
      <c r="AB53" s="1609">
        <v>0</v>
      </c>
      <c r="AC53" s="1610">
        <v>0</v>
      </c>
    </row>
    <row r="54" spans="1:29" ht="17.25" customHeight="1">
      <c r="A54" s="1605"/>
      <c r="B54" s="1613"/>
      <c r="C54" s="1614">
        <v>7712</v>
      </c>
      <c r="D54" s="1615">
        <v>0</v>
      </c>
      <c r="E54" s="1616"/>
      <c r="F54" s="1617">
        <v>0</v>
      </c>
      <c r="G54" s="1618">
        <v>0</v>
      </c>
      <c r="H54" s="1615">
        <v>1</v>
      </c>
      <c r="I54" s="1616"/>
      <c r="J54" s="1617">
        <v>714</v>
      </c>
      <c r="K54" s="1617">
        <v>108</v>
      </c>
      <c r="L54" s="1618">
        <v>0</v>
      </c>
      <c r="M54" s="1617">
        <v>0</v>
      </c>
      <c r="N54" s="1617">
        <v>0</v>
      </c>
      <c r="O54" s="1618">
        <v>0</v>
      </c>
      <c r="P54" s="1617">
        <v>0</v>
      </c>
      <c r="Q54" s="1617">
        <v>0</v>
      </c>
      <c r="R54" s="1497">
        <v>2</v>
      </c>
      <c r="S54" s="1619"/>
      <c r="T54" s="1510">
        <v>8324</v>
      </c>
      <c r="U54" s="1491">
        <v>7681</v>
      </c>
      <c r="V54" s="1620">
        <v>99.598029045643159</v>
      </c>
      <c r="W54" s="1505"/>
      <c r="X54" s="1618">
        <v>0</v>
      </c>
      <c r="Y54" s="1617">
        <v>0</v>
      </c>
      <c r="Z54" s="1617">
        <v>0</v>
      </c>
      <c r="AA54" s="1617">
        <v>0</v>
      </c>
      <c r="AB54" s="1617">
        <v>0</v>
      </c>
      <c r="AC54" s="1618">
        <v>0</v>
      </c>
    </row>
    <row r="55" spans="1:29" ht="17.25" customHeight="1">
      <c r="A55" s="1656"/>
      <c r="B55" s="1628"/>
      <c r="C55" s="1657">
        <v>0</v>
      </c>
      <c r="D55" s="1658">
        <v>6</v>
      </c>
      <c r="E55" s="1659">
        <v>0</v>
      </c>
      <c r="F55" s="1660">
        <v>193810</v>
      </c>
      <c r="G55" s="1661">
        <v>187413</v>
      </c>
      <c r="H55" s="1658">
        <v>1</v>
      </c>
      <c r="I55" s="1659">
        <v>0</v>
      </c>
      <c r="J55" s="1661">
        <v>229</v>
      </c>
      <c r="K55" s="1661">
        <v>190</v>
      </c>
      <c r="L55" s="1662">
        <v>0</v>
      </c>
      <c r="M55" s="1662">
        <v>0</v>
      </c>
      <c r="N55" s="1662">
        <v>0</v>
      </c>
      <c r="O55" s="1662">
        <v>0</v>
      </c>
      <c r="P55" s="1661">
        <v>0</v>
      </c>
      <c r="Q55" s="1661">
        <v>0</v>
      </c>
      <c r="R55" s="1634">
        <v>0</v>
      </c>
      <c r="S55" s="1629">
        <v>0</v>
      </c>
      <c r="T55" s="1629">
        <v>0</v>
      </c>
      <c r="U55" s="1629">
        <v>0</v>
      </c>
      <c r="V55" s="1635">
        <v>0</v>
      </c>
      <c r="W55" s="1505"/>
      <c r="X55" s="1662">
        <v>0</v>
      </c>
      <c r="Y55" s="1661">
        <v>0</v>
      </c>
      <c r="Z55" s="1661">
        <v>0</v>
      </c>
      <c r="AA55" s="1661">
        <v>0</v>
      </c>
      <c r="AB55" s="1661">
        <v>0</v>
      </c>
      <c r="AC55" s="1662">
        <v>0</v>
      </c>
    </row>
    <row r="56" spans="1:29" ht="17.25" customHeight="1">
      <c r="A56" s="1663"/>
      <c r="B56" s="1648" t="s">
        <v>346</v>
      </c>
      <c r="C56" s="1664">
        <v>190406</v>
      </c>
      <c r="D56" s="1665">
        <v>5</v>
      </c>
      <c r="E56" s="1666">
        <v>0</v>
      </c>
      <c r="F56" s="1667">
        <v>39283</v>
      </c>
      <c r="G56" s="1668">
        <v>1335</v>
      </c>
      <c r="H56" s="1665">
        <v>13</v>
      </c>
      <c r="I56" s="1666">
        <v>0</v>
      </c>
      <c r="J56" s="1668">
        <v>9690</v>
      </c>
      <c r="K56" s="1668">
        <v>950</v>
      </c>
      <c r="L56" s="1641">
        <v>4</v>
      </c>
      <c r="M56" s="1641">
        <v>667</v>
      </c>
      <c r="N56" s="1641">
        <v>5</v>
      </c>
      <c r="O56" s="1643">
        <v>0</v>
      </c>
      <c r="P56" s="1649">
        <v>0</v>
      </c>
      <c r="Q56" s="1649">
        <v>0</v>
      </c>
      <c r="R56" s="1642">
        <v>29</v>
      </c>
      <c r="S56" s="1652">
        <v>0</v>
      </c>
      <c r="T56" s="1649">
        <v>243679</v>
      </c>
      <c r="U56" s="1649">
        <v>189893</v>
      </c>
      <c r="V56" s="1645">
        <v>99.730575717151766</v>
      </c>
      <c r="W56" s="1510"/>
      <c r="X56" s="1641">
        <v>2</v>
      </c>
      <c r="Y56" s="1668">
        <v>154</v>
      </c>
      <c r="Z56" s="1668">
        <v>74</v>
      </c>
      <c r="AA56" s="1668">
        <v>3</v>
      </c>
      <c r="AB56" s="1668">
        <v>105</v>
      </c>
      <c r="AC56" s="1641">
        <v>36</v>
      </c>
    </row>
    <row r="57" spans="1:29" ht="17.25" customHeight="1">
      <c r="A57" s="1605" t="s">
        <v>374</v>
      </c>
      <c r="B57" s="1646" t="s">
        <v>388</v>
      </c>
      <c r="C57" s="1505"/>
      <c r="D57" s="1611">
        <v>2</v>
      </c>
      <c r="E57" s="1612">
        <v>1</v>
      </c>
      <c r="F57" s="1609">
        <v>65850</v>
      </c>
      <c r="G57" s="1610">
        <v>61375</v>
      </c>
      <c r="H57" s="1611">
        <v>8</v>
      </c>
      <c r="I57" s="1612"/>
      <c r="J57" s="1609">
        <v>4344</v>
      </c>
      <c r="K57" s="1610">
        <v>3317</v>
      </c>
      <c r="L57" s="1505">
        <v>0</v>
      </c>
      <c r="M57" s="1473">
        <v>0</v>
      </c>
      <c r="N57" s="1473">
        <v>0</v>
      </c>
      <c r="O57" s="1505">
        <v>1</v>
      </c>
      <c r="P57" s="1473">
        <v>2450</v>
      </c>
      <c r="Q57" s="1473">
        <v>0</v>
      </c>
      <c r="R57" s="1479">
        <v>0</v>
      </c>
      <c r="S57" s="1473">
        <v>0</v>
      </c>
      <c r="T57" s="1473">
        <v>0</v>
      </c>
      <c r="U57" s="1473">
        <v>0</v>
      </c>
      <c r="V57" s="1505">
        <v>0</v>
      </c>
      <c r="W57" s="1505"/>
      <c r="X57" s="1610">
        <v>3</v>
      </c>
      <c r="Y57" s="1609">
        <v>252</v>
      </c>
      <c r="Z57" s="1609">
        <v>153</v>
      </c>
      <c r="AA57" s="1609">
        <v>3</v>
      </c>
      <c r="AB57" s="1609">
        <v>95</v>
      </c>
      <c r="AC57" s="1610">
        <v>45</v>
      </c>
    </row>
    <row r="58" spans="1:29" ht="17.25" customHeight="1">
      <c r="A58" s="1605" t="s">
        <v>389</v>
      </c>
      <c r="B58" s="1613"/>
      <c r="C58" s="1614">
        <v>65529</v>
      </c>
      <c r="D58" s="1615">
        <v>0</v>
      </c>
      <c r="E58" s="1616"/>
      <c r="F58" s="1617">
        <v>0</v>
      </c>
      <c r="G58" s="1618">
        <v>0</v>
      </c>
      <c r="H58" s="1615">
        <v>1</v>
      </c>
      <c r="I58" s="1616"/>
      <c r="J58" s="1617">
        <v>300</v>
      </c>
      <c r="K58" s="1617">
        <v>230</v>
      </c>
      <c r="L58" s="1618">
        <v>0</v>
      </c>
      <c r="M58" s="1617">
        <v>0</v>
      </c>
      <c r="N58" s="1617">
        <v>0</v>
      </c>
      <c r="O58" s="1618">
        <v>2</v>
      </c>
      <c r="P58" s="1617">
        <v>344</v>
      </c>
      <c r="Q58" s="1617">
        <v>0</v>
      </c>
      <c r="R58" s="1497">
        <v>14</v>
      </c>
      <c r="S58" s="1619">
        <v>1</v>
      </c>
      <c r="T58" s="1510">
        <v>70494</v>
      </c>
      <c r="U58" s="1491">
        <v>64922</v>
      </c>
      <c r="V58" s="1620">
        <v>99.073692563597788</v>
      </c>
      <c r="W58" s="1505"/>
      <c r="X58" s="1618">
        <v>0</v>
      </c>
      <c r="Y58" s="1617">
        <v>0</v>
      </c>
      <c r="Z58" s="1617">
        <v>0</v>
      </c>
      <c r="AA58" s="1617">
        <v>2</v>
      </c>
      <c r="AB58" s="1617">
        <v>100</v>
      </c>
      <c r="AC58" s="1618">
        <v>43</v>
      </c>
    </row>
    <row r="59" spans="1:29" ht="17.25" customHeight="1">
      <c r="A59" s="1605" t="s">
        <v>390</v>
      </c>
      <c r="B59" s="1606" t="s">
        <v>391</v>
      </c>
      <c r="C59" s="1505"/>
      <c r="D59" s="1607">
        <v>1</v>
      </c>
      <c r="E59" s="1608"/>
      <c r="F59" s="1609">
        <v>34900</v>
      </c>
      <c r="G59" s="1610">
        <v>31525</v>
      </c>
      <c r="H59" s="1611">
        <v>0</v>
      </c>
      <c r="I59" s="1612"/>
      <c r="J59" s="1609">
        <v>0</v>
      </c>
      <c r="K59" s="1610">
        <v>0</v>
      </c>
      <c r="L59" s="1505">
        <v>1</v>
      </c>
      <c r="M59" s="1473">
        <v>240</v>
      </c>
      <c r="N59" s="1473">
        <v>0</v>
      </c>
      <c r="O59" s="1503">
        <v>0</v>
      </c>
      <c r="P59" s="1473">
        <v>0</v>
      </c>
      <c r="Q59" s="1473">
        <v>0</v>
      </c>
      <c r="R59" s="1479">
        <v>0</v>
      </c>
      <c r="S59" s="1473">
        <v>0</v>
      </c>
      <c r="T59" s="1473">
        <v>0</v>
      </c>
      <c r="U59" s="1473">
        <v>0</v>
      </c>
      <c r="V59" s="1505">
        <v>0</v>
      </c>
      <c r="W59" s="1505"/>
      <c r="X59" s="1610">
        <v>0</v>
      </c>
      <c r="Y59" s="1609">
        <v>0</v>
      </c>
      <c r="Z59" s="1609">
        <v>0</v>
      </c>
      <c r="AA59" s="1609">
        <v>0</v>
      </c>
      <c r="AB59" s="1609">
        <v>0</v>
      </c>
      <c r="AC59" s="1610">
        <v>0</v>
      </c>
    </row>
    <row r="60" spans="1:29" ht="17.25" customHeight="1">
      <c r="A60" s="1605"/>
      <c r="B60" s="1613"/>
      <c r="C60" s="1614">
        <v>31701</v>
      </c>
      <c r="D60" s="1615">
        <v>0</v>
      </c>
      <c r="E60" s="1616"/>
      <c r="F60" s="1617">
        <v>0</v>
      </c>
      <c r="G60" s="1618">
        <v>0</v>
      </c>
      <c r="H60" s="1615">
        <v>0</v>
      </c>
      <c r="I60" s="1616"/>
      <c r="J60" s="1617">
        <v>0</v>
      </c>
      <c r="K60" s="1617">
        <v>0</v>
      </c>
      <c r="L60" s="1618">
        <v>2</v>
      </c>
      <c r="M60" s="1617">
        <v>615</v>
      </c>
      <c r="N60" s="1617">
        <v>0</v>
      </c>
      <c r="O60" s="1618">
        <v>0</v>
      </c>
      <c r="P60" s="1617">
        <v>0</v>
      </c>
      <c r="Q60" s="1617">
        <v>0</v>
      </c>
      <c r="R60" s="1497">
        <v>4</v>
      </c>
      <c r="S60" s="1619">
        <v>0</v>
      </c>
      <c r="T60" s="1510">
        <v>35755</v>
      </c>
      <c r="U60" s="1491">
        <v>31525</v>
      </c>
      <c r="V60" s="1620">
        <v>99.444812466483711</v>
      </c>
      <c r="W60" s="1505"/>
      <c r="X60" s="1618">
        <v>0</v>
      </c>
      <c r="Y60" s="1617">
        <v>0</v>
      </c>
      <c r="Z60" s="1617">
        <v>0</v>
      </c>
      <c r="AA60" s="1617">
        <v>0</v>
      </c>
      <c r="AB60" s="1617">
        <v>0</v>
      </c>
      <c r="AC60" s="1618">
        <v>0</v>
      </c>
    </row>
    <row r="61" spans="1:29" ht="17.25" customHeight="1">
      <c r="A61" s="1605"/>
      <c r="B61" s="1606" t="s">
        <v>392</v>
      </c>
      <c r="C61" s="1505"/>
      <c r="D61" s="1607">
        <v>1</v>
      </c>
      <c r="E61" s="1608"/>
      <c r="F61" s="1609">
        <v>19100</v>
      </c>
      <c r="G61" s="1610">
        <v>17488</v>
      </c>
      <c r="H61" s="1611">
        <v>6</v>
      </c>
      <c r="I61" s="1612"/>
      <c r="J61" s="1609">
        <v>1258</v>
      </c>
      <c r="K61" s="1610">
        <v>755</v>
      </c>
      <c r="L61" s="1505">
        <v>0</v>
      </c>
      <c r="M61" s="1473">
        <v>0</v>
      </c>
      <c r="N61" s="1473">
        <v>0</v>
      </c>
      <c r="O61" s="1503">
        <v>0</v>
      </c>
      <c r="P61" s="1473">
        <v>0</v>
      </c>
      <c r="Q61" s="1473">
        <v>0</v>
      </c>
      <c r="R61" s="1479">
        <v>0</v>
      </c>
      <c r="S61" s="1473">
        <v>0</v>
      </c>
      <c r="T61" s="1473">
        <v>0</v>
      </c>
      <c r="U61" s="1473">
        <v>0</v>
      </c>
      <c r="V61" s="1505">
        <v>0</v>
      </c>
      <c r="W61" s="1505"/>
      <c r="X61" s="1610">
        <v>3</v>
      </c>
      <c r="Y61" s="1609">
        <v>220</v>
      </c>
      <c r="Z61" s="1609">
        <v>147</v>
      </c>
      <c r="AA61" s="1609">
        <v>1</v>
      </c>
      <c r="AB61" s="1609">
        <v>49</v>
      </c>
      <c r="AC61" s="1610">
        <v>0</v>
      </c>
    </row>
    <row r="62" spans="1:29" ht="17.25" customHeight="1">
      <c r="A62" s="1605"/>
      <c r="B62" s="1613"/>
      <c r="C62" s="1614">
        <v>18437</v>
      </c>
      <c r="D62" s="1615">
        <v>0</v>
      </c>
      <c r="E62" s="1616"/>
      <c r="F62" s="1617">
        <v>0</v>
      </c>
      <c r="G62" s="1618">
        <v>0</v>
      </c>
      <c r="H62" s="1615">
        <v>0</v>
      </c>
      <c r="I62" s="1616"/>
      <c r="J62" s="1617">
        <v>0</v>
      </c>
      <c r="K62" s="1617">
        <v>0</v>
      </c>
      <c r="L62" s="1618">
        <v>0</v>
      </c>
      <c r="M62" s="1617">
        <v>0</v>
      </c>
      <c r="N62" s="1617">
        <v>0</v>
      </c>
      <c r="O62" s="1618">
        <v>0</v>
      </c>
      <c r="P62" s="1617">
        <v>0</v>
      </c>
      <c r="Q62" s="1617">
        <v>0</v>
      </c>
      <c r="R62" s="1497">
        <v>7</v>
      </c>
      <c r="S62" s="1619">
        <v>0</v>
      </c>
      <c r="T62" s="1510">
        <v>20358</v>
      </c>
      <c r="U62" s="1491">
        <v>18243</v>
      </c>
      <c r="V62" s="1620">
        <v>98.947768075066449</v>
      </c>
      <c r="W62" s="1505"/>
      <c r="X62" s="1618">
        <v>0</v>
      </c>
      <c r="Y62" s="1617">
        <v>0</v>
      </c>
      <c r="Z62" s="1617">
        <v>0</v>
      </c>
      <c r="AA62" s="1617">
        <v>0</v>
      </c>
      <c r="AB62" s="1617">
        <v>0</v>
      </c>
      <c r="AC62" s="1618">
        <v>0</v>
      </c>
    </row>
    <row r="63" spans="1:29" ht="17.25" customHeight="1">
      <c r="A63" s="1605"/>
      <c r="B63" s="1606" t="s">
        <v>393</v>
      </c>
      <c r="C63" s="1505"/>
      <c r="D63" s="1607">
        <v>1</v>
      </c>
      <c r="E63" s="1608"/>
      <c r="F63" s="1609">
        <v>27300</v>
      </c>
      <c r="G63" s="1610">
        <v>23431</v>
      </c>
      <c r="H63" s="1611">
        <v>0</v>
      </c>
      <c r="I63" s="1612"/>
      <c r="J63" s="1609">
        <v>0</v>
      </c>
      <c r="K63" s="1610">
        <v>0</v>
      </c>
      <c r="L63" s="1505">
        <v>0</v>
      </c>
      <c r="M63" s="1473">
        <v>0</v>
      </c>
      <c r="N63" s="1473">
        <v>0</v>
      </c>
      <c r="O63" s="1503">
        <v>0</v>
      </c>
      <c r="P63" s="1473">
        <v>0</v>
      </c>
      <c r="Q63" s="1473">
        <v>0</v>
      </c>
      <c r="R63" s="1479">
        <v>0</v>
      </c>
      <c r="S63" s="1473">
        <v>0</v>
      </c>
      <c r="T63" s="1473">
        <v>0</v>
      </c>
      <c r="U63" s="1473">
        <v>0</v>
      </c>
      <c r="V63" s="1505">
        <v>0</v>
      </c>
      <c r="W63" s="1505"/>
      <c r="X63" s="1610">
        <v>0</v>
      </c>
      <c r="Y63" s="1609">
        <v>0</v>
      </c>
      <c r="Z63" s="1609">
        <v>0</v>
      </c>
      <c r="AA63" s="1609">
        <v>0</v>
      </c>
      <c r="AB63" s="1609">
        <v>0</v>
      </c>
      <c r="AC63" s="1610">
        <v>0</v>
      </c>
    </row>
    <row r="64" spans="1:29" ht="17.25" customHeight="1">
      <c r="A64" s="1605"/>
      <c r="B64" s="1613"/>
      <c r="C64" s="1614">
        <v>24797</v>
      </c>
      <c r="D64" s="1615">
        <v>0</v>
      </c>
      <c r="E64" s="1616"/>
      <c r="F64" s="1617">
        <v>0</v>
      </c>
      <c r="G64" s="1618">
        <v>0</v>
      </c>
      <c r="H64" s="1615">
        <v>3</v>
      </c>
      <c r="I64" s="1616"/>
      <c r="J64" s="1617">
        <v>1604</v>
      </c>
      <c r="K64" s="1617">
        <v>1281</v>
      </c>
      <c r="L64" s="1618">
        <v>0</v>
      </c>
      <c r="M64" s="1617">
        <v>0</v>
      </c>
      <c r="N64" s="1617">
        <v>0</v>
      </c>
      <c r="O64" s="1618">
        <v>0</v>
      </c>
      <c r="P64" s="1617">
        <v>0</v>
      </c>
      <c r="Q64" s="1617">
        <v>0</v>
      </c>
      <c r="R64" s="1479">
        <v>4</v>
      </c>
      <c r="S64" s="1621">
        <v>0</v>
      </c>
      <c r="T64" s="1505">
        <v>28904</v>
      </c>
      <c r="U64" s="1473">
        <v>24712</v>
      </c>
      <c r="V64" s="1622">
        <v>99.657216598782099</v>
      </c>
      <c r="W64" s="1505"/>
      <c r="X64" s="1618">
        <v>2</v>
      </c>
      <c r="Y64" s="1617">
        <v>85</v>
      </c>
      <c r="Z64" s="1617">
        <v>85</v>
      </c>
      <c r="AA64" s="1617">
        <v>0</v>
      </c>
      <c r="AB64" s="1617">
        <v>0</v>
      </c>
      <c r="AC64" s="1618">
        <v>0</v>
      </c>
    </row>
    <row r="65" spans="1:29" ht="17.25" customHeight="1">
      <c r="A65" s="1605"/>
      <c r="B65" s="1646" t="s">
        <v>394</v>
      </c>
      <c r="C65" s="1505"/>
      <c r="D65" s="1607">
        <v>1</v>
      </c>
      <c r="E65" s="1608"/>
      <c r="F65" s="1609">
        <v>11000</v>
      </c>
      <c r="G65" s="1610">
        <v>8808</v>
      </c>
      <c r="H65" s="1611">
        <v>1</v>
      </c>
      <c r="I65" s="1612"/>
      <c r="J65" s="1609">
        <v>200</v>
      </c>
      <c r="K65" s="1610">
        <v>113</v>
      </c>
      <c r="L65" s="1505">
        <v>0</v>
      </c>
      <c r="M65" s="1473">
        <v>0</v>
      </c>
      <c r="N65" s="1473">
        <v>0</v>
      </c>
      <c r="O65" s="1503">
        <v>0</v>
      </c>
      <c r="P65" s="1473">
        <v>0</v>
      </c>
      <c r="Q65" s="1473">
        <v>0</v>
      </c>
      <c r="R65" s="1623">
        <v>0</v>
      </c>
      <c r="S65" s="1624">
        <v>0</v>
      </c>
      <c r="T65" s="1624">
        <v>0</v>
      </c>
      <c r="U65" s="1624">
        <v>0</v>
      </c>
      <c r="V65" s="1503">
        <v>0</v>
      </c>
      <c r="W65" s="1505"/>
      <c r="X65" s="1610">
        <v>0</v>
      </c>
      <c r="Y65" s="1609">
        <v>0</v>
      </c>
      <c r="Z65" s="1609">
        <v>0</v>
      </c>
      <c r="AA65" s="1609">
        <v>0</v>
      </c>
      <c r="AB65" s="1609">
        <v>0</v>
      </c>
      <c r="AC65" s="1610">
        <v>0</v>
      </c>
    </row>
    <row r="66" spans="1:29" ht="17.25" customHeight="1">
      <c r="A66" s="1605"/>
      <c r="B66" s="1613"/>
      <c r="C66" s="1614">
        <v>9021</v>
      </c>
      <c r="D66" s="1615">
        <v>0</v>
      </c>
      <c r="E66" s="1616"/>
      <c r="F66" s="1617">
        <v>0</v>
      </c>
      <c r="G66" s="1618">
        <v>0</v>
      </c>
      <c r="H66" s="1615">
        <v>0</v>
      </c>
      <c r="I66" s="1616"/>
      <c r="J66" s="1617">
        <v>0</v>
      </c>
      <c r="K66" s="1617">
        <v>0</v>
      </c>
      <c r="L66" s="1618">
        <v>0</v>
      </c>
      <c r="M66" s="1617">
        <v>0</v>
      </c>
      <c r="N66" s="1617">
        <v>0</v>
      </c>
      <c r="O66" s="1618">
        <v>0</v>
      </c>
      <c r="P66" s="1617">
        <v>0</v>
      </c>
      <c r="Q66" s="1617">
        <v>0</v>
      </c>
      <c r="R66" s="1497">
        <v>2</v>
      </c>
      <c r="S66" s="1619">
        <v>0</v>
      </c>
      <c r="T66" s="1510">
        <v>11200</v>
      </c>
      <c r="U66" s="1491">
        <v>8921</v>
      </c>
      <c r="V66" s="1620">
        <v>98.891475446181133</v>
      </c>
      <c r="W66" s="1510"/>
      <c r="X66" s="1618">
        <v>0</v>
      </c>
      <c r="Y66" s="1617">
        <v>0</v>
      </c>
      <c r="Z66" s="1617">
        <v>0</v>
      </c>
      <c r="AA66" s="1617">
        <v>0</v>
      </c>
      <c r="AB66" s="1617">
        <v>0</v>
      </c>
      <c r="AC66" s="1618">
        <v>0</v>
      </c>
    </row>
    <row r="67" spans="1:29" ht="17.25" customHeight="1">
      <c r="A67" s="1605"/>
      <c r="B67" s="1606" t="s">
        <v>395</v>
      </c>
      <c r="C67" s="1505"/>
      <c r="D67" s="1607">
        <v>2</v>
      </c>
      <c r="E67" s="1608">
        <v>1</v>
      </c>
      <c r="F67" s="1609">
        <v>14750</v>
      </c>
      <c r="G67" s="1610">
        <v>15106</v>
      </c>
      <c r="H67" s="1611">
        <v>0</v>
      </c>
      <c r="I67" s="1612"/>
      <c r="J67" s="1609">
        <v>0</v>
      </c>
      <c r="K67" s="1610">
        <v>0</v>
      </c>
      <c r="L67" s="1505">
        <v>0</v>
      </c>
      <c r="M67" s="1473">
        <v>0</v>
      </c>
      <c r="N67" s="1473">
        <v>0</v>
      </c>
      <c r="O67" s="1503">
        <v>0</v>
      </c>
      <c r="P67" s="1473">
        <v>0</v>
      </c>
      <c r="Q67" s="1473">
        <v>0</v>
      </c>
      <c r="R67" s="1479">
        <v>0</v>
      </c>
      <c r="S67" s="1473">
        <v>0</v>
      </c>
      <c r="T67" s="1473">
        <v>0</v>
      </c>
      <c r="U67" s="1473">
        <v>0</v>
      </c>
      <c r="V67" s="1505">
        <v>0</v>
      </c>
      <c r="W67" s="1505"/>
      <c r="X67" s="1610">
        <v>0</v>
      </c>
      <c r="Y67" s="1609">
        <v>0</v>
      </c>
      <c r="Z67" s="1609">
        <v>0</v>
      </c>
      <c r="AA67" s="1609">
        <v>0</v>
      </c>
      <c r="AB67" s="1609">
        <v>0</v>
      </c>
      <c r="AC67" s="1610">
        <v>0</v>
      </c>
    </row>
    <row r="68" spans="1:29" ht="17.25" customHeight="1">
      <c r="A68" s="1605"/>
      <c r="B68" s="1613"/>
      <c r="C68" s="1614">
        <v>15693</v>
      </c>
      <c r="D68" s="1615">
        <v>0</v>
      </c>
      <c r="E68" s="1616"/>
      <c r="F68" s="1617">
        <v>0</v>
      </c>
      <c r="G68" s="1618">
        <v>0</v>
      </c>
      <c r="H68" s="1615">
        <v>1</v>
      </c>
      <c r="I68" s="1616"/>
      <c r="J68" s="1617">
        <v>800</v>
      </c>
      <c r="K68" s="1617">
        <v>578</v>
      </c>
      <c r="L68" s="1618">
        <v>0</v>
      </c>
      <c r="M68" s="1617">
        <v>0</v>
      </c>
      <c r="N68" s="1617">
        <v>0</v>
      </c>
      <c r="O68" s="1618">
        <v>0</v>
      </c>
      <c r="P68" s="1617">
        <v>0</v>
      </c>
      <c r="Q68" s="1617">
        <v>0</v>
      </c>
      <c r="R68" s="1497">
        <v>3</v>
      </c>
      <c r="S68" s="1619">
        <v>1</v>
      </c>
      <c r="T68" s="1510">
        <v>15550</v>
      </c>
      <c r="U68" s="1491">
        <v>15684</v>
      </c>
      <c r="V68" s="1620">
        <v>99.942649588988715</v>
      </c>
      <c r="W68" s="1505"/>
      <c r="X68" s="1618">
        <v>0</v>
      </c>
      <c r="Y68" s="1617">
        <v>0</v>
      </c>
      <c r="Z68" s="1617">
        <v>0</v>
      </c>
      <c r="AA68" s="1617">
        <v>0</v>
      </c>
      <c r="AB68" s="1617">
        <v>0</v>
      </c>
      <c r="AC68" s="1618">
        <v>0</v>
      </c>
    </row>
    <row r="69" spans="1:29" ht="17.25" customHeight="1">
      <c r="A69" s="1605"/>
      <c r="B69" s="1606" t="s">
        <v>396</v>
      </c>
      <c r="C69" s="1505"/>
      <c r="D69" s="1607">
        <v>1</v>
      </c>
      <c r="E69" s="1608"/>
      <c r="F69" s="1609">
        <v>5040</v>
      </c>
      <c r="G69" s="1610">
        <v>4528</v>
      </c>
      <c r="H69" s="1611">
        <v>0</v>
      </c>
      <c r="I69" s="1612"/>
      <c r="J69" s="1609">
        <v>0</v>
      </c>
      <c r="K69" s="1610">
        <v>0</v>
      </c>
      <c r="L69" s="1505">
        <v>0</v>
      </c>
      <c r="M69" s="1473">
        <v>0</v>
      </c>
      <c r="N69" s="1473">
        <v>0</v>
      </c>
      <c r="O69" s="1503">
        <v>0</v>
      </c>
      <c r="P69" s="1473">
        <v>0</v>
      </c>
      <c r="Q69" s="1473">
        <v>0</v>
      </c>
      <c r="R69" s="1479">
        <v>0</v>
      </c>
      <c r="S69" s="1473">
        <v>0</v>
      </c>
      <c r="T69" s="1473">
        <v>0</v>
      </c>
      <c r="U69" s="1473">
        <v>0</v>
      </c>
      <c r="V69" s="1505">
        <v>0</v>
      </c>
      <c r="W69" s="1505"/>
      <c r="X69" s="1610">
        <v>0</v>
      </c>
      <c r="Y69" s="1609">
        <v>0</v>
      </c>
      <c r="Z69" s="1609">
        <v>0</v>
      </c>
      <c r="AA69" s="1609">
        <v>0</v>
      </c>
      <c r="AB69" s="1609">
        <v>0</v>
      </c>
      <c r="AC69" s="1610">
        <v>0</v>
      </c>
    </row>
    <row r="70" spans="1:29" ht="17.25" customHeight="1">
      <c r="A70" s="1605"/>
      <c r="B70" s="1613"/>
      <c r="C70" s="1614">
        <v>4560</v>
      </c>
      <c r="D70" s="1615">
        <v>0</v>
      </c>
      <c r="E70" s="1616"/>
      <c r="F70" s="1617">
        <v>0</v>
      </c>
      <c r="G70" s="1618">
        <v>0</v>
      </c>
      <c r="H70" s="1615">
        <v>0</v>
      </c>
      <c r="I70" s="1616"/>
      <c r="J70" s="1617">
        <v>0</v>
      </c>
      <c r="K70" s="1617">
        <v>0</v>
      </c>
      <c r="L70" s="1618">
        <v>0</v>
      </c>
      <c r="M70" s="1617">
        <v>0</v>
      </c>
      <c r="N70" s="1617">
        <v>0</v>
      </c>
      <c r="O70" s="1618">
        <v>0</v>
      </c>
      <c r="P70" s="1617">
        <v>0</v>
      </c>
      <c r="Q70" s="1617">
        <v>0</v>
      </c>
      <c r="R70" s="1497">
        <v>1</v>
      </c>
      <c r="S70" s="1619">
        <v>0</v>
      </c>
      <c r="T70" s="1510">
        <v>5040</v>
      </c>
      <c r="U70" s="1491">
        <v>4528</v>
      </c>
      <c r="V70" s="1620">
        <v>99.298245614035082</v>
      </c>
      <c r="W70" s="1505"/>
      <c r="X70" s="1618">
        <v>0</v>
      </c>
      <c r="Y70" s="1617">
        <v>0</v>
      </c>
      <c r="Z70" s="1617">
        <v>0</v>
      </c>
      <c r="AA70" s="1617">
        <v>1</v>
      </c>
      <c r="AB70" s="1617">
        <v>40</v>
      </c>
      <c r="AC70" s="1618">
        <v>30</v>
      </c>
    </row>
    <row r="71" spans="1:29" ht="17.25" customHeight="1">
      <c r="A71" s="1605"/>
      <c r="B71" s="1606" t="s">
        <v>397</v>
      </c>
      <c r="C71" s="1505"/>
      <c r="D71" s="1607">
        <v>1</v>
      </c>
      <c r="E71" s="1608"/>
      <c r="F71" s="1609">
        <v>9500</v>
      </c>
      <c r="G71" s="1610">
        <v>8550</v>
      </c>
      <c r="H71" s="1611">
        <v>0</v>
      </c>
      <c r="I71" s="1612"/>
      <c r="J71" s="1609">
        <v>0</v>
      </c>
      <c r="K71" s="1610">
        <v>0</v>
      </c>
      <c r="L71" s="1505">
        <v>0</v>
      </c>
      <c r="M71" s="1473">
        <v>0</v>
      </c>
      <c r="N71" s="1473">
        <v>0</v>
      </c>
      <c r="O71" s="1503">
        <v>0</v>
      </c>
      <c r="P71" s="1473">
        <v>0</v>
      </c>
      <c r="Q71" s="1473">
        <v>0</v>
      </c>
      <c r="R71" s="1623">
        <v>0</v>
      </c>
      <c r="S71" s="1624">
        <v>0</v>
      </c>
      <c r="T71" s="1473">
        <v>0</v>
      </c>
      <c r="U71" s="1473">
        <v>0</v>
      </c>
      <c r="V71" s="1505">
        <v>0</v>
      </c>
      <c r="W71" s="1505"/>
      <c r="X71" s="1610">
        <v>0</v>
      </c>
      <c r="Y71" s="1609">
        <v>0</v>
      </c>
      <c r="Z71" s="1609">
        <v>0</v>
      </c>
      <c r="AA71" s="1609">
        <v>0</v>
      </c>
      <c r="AB71" s="1609">
        <v>0</v>
      </c>
      <c r="AC71" s="1610">
        <v>0</v>
      </c>
    </row>
    <row r="72" spans="1:29" ht="17.25" customHeight="1">
      <c r="A72" s="1605"/>
      <c r="B72" s="1613"/>
      <c r="C72" s="1614">
        <v>8593</v>
      </c>
      <c r="D72" s="1615">
        <v>0</v>
      </c>
      <c r="E72" s="1616"/>
      <c r="F72" s="1617">
        <v>0</v>
      </c>
      <c r="G72" s="1618">
        <v>0</v>
      </c>
      <c r="H72" s="1615">
        <v>0</v>
      </c>
      <c r="I72" s="1616"/>
      <c r="J72" s="1617">
        <v>0</v>
      </c>
      <c r="K72" s="1617">
        <v>0</v>
      </c>
      <c r="L72" s="1618">
        <v>0</v>
      </c>
      <c r="M72" s="1617">
        <v>0</v>
      </c>
      <c r="N72" s="1617">
        <v>0</v>
      </c>
      <c r="O72" s="1618">
        <v>0</v>
      </c>
      <c r="P72" s="1617">
        <v>0</v>
      </c>
      <c r="Q72" s="1617">
        <v>0</v>
      </c>
      <c r="R72" s="1497">
        <v>1</v>
      </c>
      <c r="S72" s="1619">
        <v>0</v>
      </c>
      <c r="T72" s="1510">
        <v>9500</v>
      </c>
      <c r="U72" s="1491">
        <v>8550</v>
      </c>
      <c r="V72" s="1620">
        <v>99.499592691725823</v>
      </c>
      <c r="W72" s="1505"/>
      <c r="X72" s="1618">
        <v>0</v>
      </c>
      <c r="Y72" s="1617">
        <v>0</v>
      </c>
      <c r="Z72" s="1617">
        <v>0</v>
      </c>
      <c r="AA72" s="1617">
        <v>0</v>
      </c>
      <c r="AB72" s="1617">
        <v>0</v>
      </c>
      <c r="AC72" s="1618">
        <v>0</v>
      </c>
    </row>
    <row r="73" spans="1:29" ht="19.5" customHeight="1">
      <c r="A73" s="1656"/>
      <c r="B73" s="1669"/>
      <c r="C73" s="1670">
        <v>0</v>
      </c>
      <c r="D73" s="1634">
        <v>10</v>
      </c>
      <c r="E73" s="1671">
        <v>2</v>
      </c>
      <c r="F73" s="1634">
        <v>187440</v>
      </c>
      <c r="G73" s="1634">
        <v>170811</v>
      </c>
      <c r="H73" s="1634">
        <v>15</v>
      </c>
      <c r="I73" s="1671">
        <v>0</v>
      </c>
      <c r="J73" s="1634">
        <v>5802</v>
      </c>
      <c r="K73" s="1634">
        <v>4185</v>
      </c>
      <c r="L73" s="1634">
        <v>1</v>
      </c>
      <c r="M73" s="1634">
        <v>240</v>
      </c>
      <c r="N73" s="1672">
        <v>0</v>
      </c>
      <c r="O73" s="1672">
        <v>1</v>
      </c>
      <c r="P73" s="1634">
        <v>2450</v>
      </c>
      <c r="Q73" s="1672">
        <v>0</v>
      </c>
      <c r="R73" s="1634">
        <v>0</v>
      </c>
      <c r="S73" s="1670">
        <v>0</v>
      </c>
      <c r="T73" s="1634">
        <v>0</v>
      </c>
      <c r="U73" s="1634">
        <v>0</v>
      </c>
      <c r="V73" s="1672">
        <v>0</v>
      </c>
      <c r="W73" s="1505"/>
      <c r="X73" s="1673">
        <v>6</v>
      </c>
      <c r="Y73" s="1673">
        <v>472</v>
      </c>
      <c r="Z73" s="1673">
        <v>300</v>
      </c>
      <c r="AA73" s="1673">
        <v>4</v>
      </c>
      <c r="AB73" s="1673">
        <v>144</v>
      </c>
      <c r="AC73" s="1662">
        <v>45</v>
      </c>
    </row>
    <row r="74" spans="1:29" ht="19.5" customHeight="1">
      <c r="A74" s="1663"/>
      <c r="B74" s="1648" t="s">
        <v>346</v>
      </c>
      <c r="C74" s="1649">
        <v>178331</v>
      </c>
      <c r="D74" s="1639">
        <v>0</v>
      </c>
      <c r="E74" s="1640">
        <v>0</v>
      </c>
      <c r="F74" s="1639">
        <v>0</v>
      </c>
      <c r="G74" s="1639">
        <v>0</v>
      </c>
      <c r="H74" s="1639">
        <v>5</v>
      </c>
      <c r="I74" s="1640">
        <v>0</v>
      </c>
      <c r="J74" s="1639">
        <v>2704</v>
      </c>
      <c r="K74" s="1641">
        <v>2089</v>
      </c>
      <c r="L74" s="1639">
        <v>2</v>
      </c>
      <c r="M74" s="1639">
        <v>615</v>
      </c>
      <c r="N74" s="1641">
        <v>0</v>
      </c>
      <c r="O74" s="1641">
        <v>2</v>
      </c>
      <c r="P74" s="1639">
        <v>344</v>
      </c>
      <c r="Q74" s="1641">
        <v>0</v>
      </c>
      <c r="R74" s="1642">
        <v>36</v>
      </c>
      <c r="S74" s="1652">
        <v>2</v>
      </c>
      <c r="T74" s="1642">
        <v>196801</v>
      </c>
      <c r="U74" s="1642">
        <v>177085</v>
      </c>
      <c r="V74" s="1645">
        <v>99.301299269336226</v>
      </c>
      <c r="W74" s="1510"/>
      <c r="X74" s="1642">
        <v>2</v>
      </c>
      <c r="Y74" s="1642">
        <v>85</v>
      </c>
      <c r="Z74" s="1642">
        <v>85</v>
      </c>
      <c r="AA74" s="1642">
        <v>3</v>
      </c>
      <c r="AB74" s="1642">
        <v>140</v>
      </c>
      <c r="AC74" s="1643">
        <v>73</v>
      </c>
    </row>
    <row r="75" spans="1:29" ht="19.5" customHeight="1">
      <c r="A75" s="1605" t="s">
        <v>398</v>
      </c>
      <c r="B75" s="1646" t="s">
        <v>399</v>
      </c>
      <c r="C75" s="1505"/>
      <c r="D75" s="1611">
        <v>1</v>
      </c>
      <c r="E75" s="1612"/>
      <c r="F75" s="1609">
        <v>104400</v>
      </c>
      <c r="G75" s="1610">
        <v>93912</v>
      </c>
      <c r="H75" s="1611">
        <v>1</v>
      </c>
      <c r="I75" s="1612"/>
      <c r="J75" s="1609">
        <v>1700</v>
      </c>
      <c r="K75" s="1610">
        <v>1519</v>
      </c>
      <c r="L75" s="1505">
        <v>0</v>
      </c>
      <c r="M75" s="1473">
        <v>0</v>
      </c>
      <c r="N75" s="1473">
        <v>0</v>
      </c>
      <c r="O75" s="1505">
        <v>0</v>
      </c>
      <c r="P75" s="1473">
        <v>0</v>
      </c>
      <c r="Q75" s="1473">
        <v>0</v>
      </c>
      <c r="R75" s="1479">
        <v>0</v>
      </c>
      <c r="S75" s="1473">
        <v>0</v>
      </c>
      <c r="T75" s="1473">
        <v>0</v>
      </c>
      <c r="U75" s="1473">
        <v>0</v>
      </c>
      <c r="V75" s="1505">
        <v>0</v>
      </c>
      <c r="W75" s="1505"/>
      <c r="X75" s="1610">
        <v>0</v>
      </c>
      <c r="Y75" s="1609">
        <v>0</v>
      </c>
      <c r="Z75" s="1609">
        <v>0</v>
      </c>
      <c r="AA75" s="1609">
        <v>0</v>
      </c>
      <c r="AB75" s="1609">
        <v>0</v>
      </c>
      <c r="AC75" s="1610">
        <v>0</v>
      </c>
    </row>
    <row r="76" spans="1:29" ht="19.5" customHeight="1">
      <c r="A76" s="1605" t="s">
        <v>400</v>
      </c>
      <c r="B76" s="1613"/>
      <c r="C76" s="1614">
        <v>96259</v>
      </c>
      <c r="D76" s="1615">
        <v>0</v>
      </c>
      <c r="E76" s="1616"/>
      <c r="F76" s="1617">
        <v>0</v>
      </c>
      <c r="G76" s="1618">
        <v>0</v>
      </c>
      <c r="H76" s="1615">
        <v>0</v>
      </c>
      <c r="I76" s="1616"/>
      <c r="J76" s="1617">
        <v>0</v>
      </c>
      <c r="K76" s="1617">
        <v>0</v>
      </c>
      <c r="L76" s="1618">
        <v>0</v>
      </c>
      <c r="M76" s="1617">
        <v>0</v>
      </c>
      <c r="N76" s="1617">
        <v>0</v>
      </c>
      <c r="O76" s="1618">
        <v>0</v>
      </c>
      <c r="P76" s="1617">
        <v>0</v>
      </c>
      <c r="Q76" s="1617">
        <v>0</v>
      </c>
      <c r="R76" s="1497">
        <v>2</v>
      </c>
      <c r="S76" s="1619">
        <v>0</v>
      </c>
      <c r="T76" s="1510">
        <v>106100</v>
      </c>
      <c r="U76" s="1491">
        <v>95431</v>
      </c>
      <c r="V76" s="1620">
        <v>99.139820692091135</v>
      </c>
      <c r="W76" s="1505"/>
      <c r="X76" s="1618">
        <v>0</v>
      </c>
      <c r="Y76" s="1617">
        <v>0</v>
      </c>
      <c r="Z76" s="1617">
        <v>0</v>
      </c>
      <c r="AA76" s="1617">
        <v>2</v>
      </c>
      <c r="AB76" s="1617">
        <v>0</v>
      </c>
      <c r="AC76" s="1618">
        <v>47</v>
      </c>
    </row>
    <row r="77" spans="1:29" ht="19.5" customHeight="1">
      <c r="A77" s="1605" t="s">
        <v>401</v>
      </c>
      <c r="B77" s="1606" t="s">
        <v>402</v>
      </c>
      <c r="C77" s="1505"/>
      <c r="D77" s="1607">
        <v>1</v>
      </c>
      <c r="E77" s="1608"/>
      <c r="F77" s="1609">
        <v>13400</v>
      </c>
      <c r="G77" s="1610">
        <v>12316</v>
      </c>
      <c r="H77" s="1611">
        <v>0</v>
      </c>
      <c r="I77" s="1612"/>
      <c r="J77" s="1609">
        <v>0</v>
      </c>
      <c r="K77" s="1610">
        <v>0</v>
      </c>
      <c r="L77" s="1505">
        <v>0</v>
      </c>
      <c r="M77" s="1473">
        <v>0</v>
      </c>
      <c r="N77" s="1473">
        <v>0</v>
      </c>
      <c r="O77" s="1503">
        <v>0</v>
      </c>
      <c r="P77" s="1473">
        <v>0</v>
      </c>
      <c r="Q77" s="1473">
        <v>0</v>
      </c>
      <c r="R77" s="1479">
        <v>0</v>
      </c>
      <c r="S77" s="1473">
        <v>0</v>
      </c>
      <c r="T77" s="1473">
        <v>0</v>
      </c>
      <c r="U77" s="1473">
        <v>0</v>
      </c>
      <c r="V77" s="1505">
        <v>0</v>
      </c>
      <c r="W77" s="1505"/>
      <c r="X77" s="1610">
        <v>0</v>
      </c>
      <c r="Y77" s="1609">
        <v>0</v>
      </c>
      <c r="Z77" s="1609">
        <v>0</v>
      </c>
      <c r="AA77" s="1609">
        <v>0</v>
      </c>
      <c r="AB77" s="1609">
        <v>0</v>
      </c>
      <c r="AC77" s="1610">
        <v>0</v>
      </c>
    </row>
    <row r="78" spans="1:29" ht="19.5" customHeight="1">
      <c r="A78" s="1605"/>
      <c r="B78" s="1613"/>
      <c r="C78" s="1614">
        <v>12405</v>
      </c>
      <c r="D78" s="1615">
        <v>0</v>
      </c>
      <c r="E78" s="1616"/>
      <c r="F78" s="1617">
        <v>0</v>
      </c>
      <c r="G78" s="1618">
        <v>0</v>
      </c>
      <c r="H78" s="1615">
        <v>0</v>
      </c>
      <c r="I78" s="1616"/>
      <c r="J78" s="1617">
        <v>0</v>
      </c>
      <c r="K78" s="1617">
        <v>0</v>
      </c>
      <c r="L78" s="1618">
        <v>0</v>
      </c>
      <c r="M78" s="1617">
        <v>0</v>
      </c>
      <c r="N78" s="1617">
        <v>0</v>
      </c>
      <c r="O78" s="1618">
        <v>0</v>
      </c>
      <c r="P78" s="1617">
        <v>0</v>
      </c>
      <c r="Q78" s="1617">
        <v>0</v>
      </c>
      <c r="R78" s="1497">
        <v>1</v>
      </c>
      <c r="S78" s="1619">
        <v>0</v>
      </c>
      <c r="T78" s="1510">
        <v>13400</v>
      </c>
      <c r="U78" s="1491">
        <v>12316</v>
      </c>
      <c r="V78" s="1620">
        <v>99.282547359935506</v>
      </c>
      <c r="W78" s="1505"/>
      <c r="X78" s="1618">
        <v>1</v>
      </c>
      <c r="Y78" s="1617">
        <v>95</v>
      </c>
      <c r="Z78" s="1617">
        <v>0</v>
      </c>
      <c r="AA78" s="1617">
        <v>0</v>
      </c>
      <c r="AB78" s="1617">
        <v>0</v>
      </c>
      <c r="AC78" s="1618">
        <v>0</v>
      </c>
    </row>
    <row r="79" spans="1:29" ht="19.5" customHeight="1">
      <c r="A79" s="1605"/>
      <c r="B79" s="1606" t="s">
        <v>403</v>
      </c>
      <c r="C79" s="1505"/>
      <c r="D79" s="1607">
        <v>1</v>
      </c>
      <c r="E79" s="1608"/>
      <c r="F79" s="1609">
        <v>10300</v>
      </c>
      <c r="G79" s="1610">
        <v>10012</v>
      </c>
      <c r="H79" s="1611">
        <v>1</v>
      </c>
      <c r="I79" s="1612"/>
      <c r="J79" s="1609">
        <v>2630</v>
      </c>
      <c r="K79" s="1610">
        <v>2531</v>
      </c>
      <c r="L79" s="1505">
        <v>0</v>
      </c>
      <c r="M79" s="1473">
        <v>0</v>
      </c>
      <c r="N79" s="1473">
        <v>0</v>
      </c>
      <c r="O79" s="1503">
        <v>0</v>
      </c>
      <c r="P79" s="1473">
        <v>0</v>
      </c>
      <c r="Q79" s="1473">
        <v>0</v>
      </c>
      <c r="R79" s="1479">
        <v>0</v>
      </c>
      <c r="S79" s="1473">
        <v>0</v>
      </c>
      <c r="T79" s="1473">
        <v>0</v>
      </c>
      <c r="U79" s="1473">
        <v>0</v>
      </c>
      <c r="V79" s="1505">
        <v>0</v>
      </c>
      <c r="W79" s="1505"/>
      <c r="X79" s="1610">
        <v>0</v>
      </c>
      <c r="Y79" s="1609">
        <v>0</v>
      </c>
      <c r="Z79" s="1609">
        <v>0</v>
      </c>
      <c r="AA79" s="1609">
        <v>1</v>
      </c>
      <c r="AB79" s="1609">
        <v>30</v>
      </c>
      <c r="AC79" s="1610">
        <v>18</v>
      </c>
    </row>
    <row r="80" spans="1:29" ht="19.5" customHeight="1">
      <c r="A80" s="1605"/>
      <c r="B80" s="1613"/>
      <c r="C80" s="1614">
        <v>12628</v>
      </c>
      <c r="D80" s="1615">
        <v>0</v>
      </c>
      <c r="E80" s="1616"/>
      <c r="F80" s="1617">
        <v>0</v>
      </c>
      <c r="G80" s="1618">
        <v>0</v>
      </c>
      <c r="H80" s="1615">
        <v>0</v>
      </c>
      <c r="I80" s="1616"/>
      <c r="J80" s="1617">
        <v>0</v>
      </c>
      <c r="K80" s="1617">
        <v>0</v>
      </c>
      <c r="L80" s="1618">
        <v>0</v>
      </c>
      <c r="M80" s="1617">
        <v>0</v>
      </c>
      <c r="N80" s="1617">
        <v>0</v>
      </c>
      <c r="O80" s="1618">
        <v>0</v>
      </c>
      <c r="P80" s="1617">
        <v>0</v>
      </c>
      <c r="Q80" s="1617">
        <v>0</v>
      </c>
      <c r="R80" s="1497">
        <v>2</v>
      </c>
      <c r="S80" s="1619">
        <v>0</v>
      </c>
      <c r="T80" s="1510">
        <v>12930</v>
      </c>
      <c r="U80" s="1491">
        <v>12543</v>
      </c>
      <c r="V80" s="1620">
        <v>99.326892619575545</v>
      </c>
      <c r="W80" s="1505"/>
      <c r="X80" s="1618">
        <v>0</v>
      </c>
      <c r="Y80" s="1617">
        <v>0</v>
      </c>
      <c r="Z80" s="1617">
        <v>0</v>
      </c>
      <c r="AA80" s="1617">
        <v>0</v>
      </c>
      <c r="AB80" s="1617">
        <v>0</v>
      </c>
      <c r="AC80" s="1618">
        <v>0</v>
      </c>
    </row>
    <row r="81" spans="1:29" ht="19.5" customHeight="1">
      <c r="A81" s="1605"/>
      <c r="B81" s="1606" t="s">
        <v>404</v>
      </c>
      <c r="C81" s="1505"/>
      <c r="D81" s="1607">
        <v>0</v>
      </c>
      <c r="E81" s="1608"/>
      <c r="F81" s="1609">
        <v>0</v>
      </c>
      <c r="G81" s="1610">
        <v>0</v>
      </c>
      <c r="H81" s="1611">
        <v>1</v>
      </c>
      <c r="I81" s="1612"/>
      <c r="J81" s="1609">
        <v>4680</v>
      </c>
      <c r="K81" s="1610">
        <v>3908</v>
      </c>
      <c r="L81" s="1505">
        <v>0</v>
      </c>
      <c r="M81" s="1473">
        <v>0</v>
      </c>
      <c r="N81" s="1473">
        <v>0</v>
      </c>
      <c r="O81" s="1503">
        <v>0</v>
      </c>
      <c r="P81" s="1473">
        <v>0</v>
      </c>
      <c r="Q81" s="1473">
        <v>0</v>
      </c>
      <c r="R81" s="1479">
        <v>0</v>
      </c>
      <c r="S81" s="1473">
        <v>0</v>
      </c>
      <c r="T81" s="1473">
        <v>0</v>
      </c>
      <c r="U81" s="1473">
        <v>0</v>
      </c>
      <c r="V81" s="1505">
        <v>0</v>
      </c>
      <c r="W81" s="1505"/>
      <c r="X81" s="1610">
        <v>0</v>
      </c>
      <c r="Y81" s="1609">
        <v>0</v>
      </c>
      <c r="Z81" s="1609">
        <v>0</v>
      </c>
      <c r="AA81" s="1609">
        <v>0</v>
      </c>
      <c r="AB81" s="1609">
        <v>0</v>
      </c>
      <c r="AC81" s="1610">
        <v>0</v>
      </c>
    </row>
    <row r="82" spans="1:29" ht="19.5" customHeight="1">
      <c r="A82" s="1605"/>
      <c r="B82" s="1613"/>
      <c r="C82" s="1614">
        <v>4324</v>
      </c>
      <c r="D82" s="1615">
        <v>0</v>
      </c>
      <c r="E82" s="1616"/>
      <c r="F82" s="1617">
        <v>0</v>
      </c>
      <c r="G82" s="1618">
        <v>0</v>
      </c>
      <c r="H82" s="1615">
        <v>0</v>
      </c>
      <c r="I82" s="1616"/>
      <c r="J82" s="1617">
        <v>0</v>
      </c>
      <c r="K82" s="1617">
        <v>0</v>
      </c>
      <c r="L82" s="1618">
        <v>0</v>
      </c>
      <c r="M82" s="1617">
        <v>0</v>
      </c>
      <c r="N82" s="1617">
        <v>0</v>
      </c>
      <c r="O82" s="1618">
        <v>0</v>
      </c>
      <c r="P82" s="1617">
        <v>0</v>
      </c>
      <c r="Q82" s="1617">
        <v>0</v>
      </c>
      <c r="R82" s="1497">
        <v>1</v>
      </c>
      <c r="S82" s="1619">
        <v>0</v>
      </c>
      <c r="T82" s="1510">
        <v>4680</v>
      </c>
      <c r="U82" s="1491">
        <v>3908</v>
      </c>
      <c r="V82" s="1620">
        <v>90.379278445883443</v>
      </c>
      <c r="W82" s="1505"/>
      <c r="X82" s="1618">
        <v>0</v>
      </c>
      <c r="Y82" s="1617">
        <v>0</v>
      </c>
      <c r="Z82" s="1617">
        <v>0</v>
      </c>
      <c r="AA82" s="1617">
        <v>2</v>
      </c>
      <c r="AB82" s="1617">
        <v>48</v>
      </c>
      <c r="AC82" s="1618">
        <v>26</v>
      </c>
    </row>
    <row r="83" spans="1:29" ht="17.25" customHeight="1">
      <c r="A83" s="1605"/>
      <c r="B83" s="1606" t="s">
        <v>405</v>
      </c>
      <c r="C83" s="1505"/>
      <c r="D83" s="1607">
        <v>1</v>
      </c>
      <c r="E83" s="1608"/>
      <c r="F83" s="1609">
        <v>6440</v>
      </c>
      <c r="G83" s="1610">
        <v>5884</v>
      </c>
      <c r="H83" s="1611">
        <v>0</v>
      </c>
      <c r="I83" s="1612"/>
      <c r="J83" s="1609">
        <v>0</v>
      </c>
      <c r="K83" s="1610">
        <v>0</v>
      </c>
      <c r="L83" s="1505">
        <v>0</v>
      </c>
      <c r="M83" s="1473">
        <v>0</v>
      </c>
      <c r="N83" s="1473">
        <v>0</v>
      </c>
      <c r="O83" s="1503">
        <v>0</v>
      </c>
      <c r="P83" s="1473">
        <v>0</v>
      </c>
      <c r="Q83" s="1473">
        <v>0</v>
      </c>
      <c r="R83" s="1479">
        <v>0</v>
      </c>
      <c r="S83" s="1473">
        <v>0</v>
      </c>
      <c r="T83" s="1473">
        <v>0</v>
      </c>
      <c r="U83" s="1473">
        <v>0</v>
      </c>
      <c r="V83" s="1505">
        <v>0</v>
      </c>
      <c r="W83" s="1505"/>
      <c r="X83" s="1610">
        <v>0</v>
      </c>
      <c r="Y83" s="1609">
        <v>0</v>
      </c>
      <c r="Z83" s="1609">
        <v>0</v>
      </c>
      <c r="AA83" s="1609">
        <v>0</v>
      </c>
      <c r="AB83" s="1609">
        <v>0</v>
      </c>
      <c r="AC83" s="1610">
        <v>0</v>
      </c>
    </row>
    <row r="84" spans="1:29" ht="17.25" customHeight="1">
      <c r="A84" s="1605"/>
      <c r="B84" s="1613"/>
      <c r="C84" s="1614">
        <v>5995</v>
      </c>
      <c r="D84" s="1615">
        <v>0</v>
      </c>
      <c r="E84" s="1616"/>
      <c r="F84" s="1617">
        <v>0</v>
      </c>
      <c r="G84" s="1618">
        <v>0</v>
      </c>
      <c r="H84" s="1615">
        <v>0</v>
      </c>
      <c r="I84" s="1616"/>
      <c r="J84" s="1617">
        <v>0</v>
      </c>
      <c r="K84" s="1617">
        <v>0</v>
      </c>
      <c r="L84" s="1618">
        <v>0</v>
      </c>
      <c r="M84" s="1617">
        <v>0</v>
      </c>
      <c r="N84" s="1617">
        <v>0</v>
      </c>
      <c r="O84" s="1618">
        <v>0</v>
      </c>
      <c r="P84" s="1617">
        <v>0</v>
      </c>
      <c r="Q84" s="1617">
        <v>0</v>
      </c>
      <c r="R84" s="1497">
        <v>1</v>
      </c>
      <c r="S84" s="1619">
        <v>0</v>
      </c>
      <c r="T84" s="1510">
        <v>6440</v>
      </c>
      <c r="U84" s="1491">
        <v>5884</v>
      </c>
      <c r="V84" s="1620">
        <v>98.148457047539623</v>
      </c>
      <c r="W84" s="1505"/>
      <c r="X84" s="1618">
        <v>2</v>
      </c>
      <c r="Y84" s="1617">
        <v>70</v>
      </c>
      <c r="Z84" s="1617">
        <v>0</v>
      </c>
      <c r="AA84" s="1617">
        <v>2</v>
      </c>
      <c r="AB84" s="1617">
        <v>50</v>
      </c>
      <c r="AC84" s="1618">
        <v>0</v>
      </c>
    </row>
    <row r="85" spans="1:29" ht="17.25" customHeight="1">
      <c r="A85" s="1605"/>
      <c r="B85" s="1606" t="s">
        <v>406</v>
      </c>
      <c r="C85" s="1505"/>
      <c r="D85" s="1607">
        <v>0</v>
      </c>
      <c r="E85" s="1608"/>
      <c r="F85" s="1609">
        <v>0</v>
      </c>
      <c r="G85" s="1610">
        <v>0</v>
      </c>
      <c r="H85" s="1611">
        <v>1</v>
      </c>
      <c r="I85" s="1612"/>
      <c r="J85" s="1609">
        <v>388</v>
      </c>
      <c r="K85" s="1610">
        <v>378</v>
      </c>
      <c r="L85" s="1505">
        <v>0</v>
      </c>
      <c r="M85" s="1473">
        <v>0</v>
      </c>
      <c r="N85" s="1473">
        <v>0</v>
      </c>
      <c r="O85" s="1503">
        <v>0</v>
      </c>
      <c r="P85" s="1473">
        <v>0</v>
      </c>
      <c r="Q85" s="1473">
        <v>0</v>
      </c>
      <c r="R85" s="1479">
        <v>0</v>
      </c>
      <c r="S85" s="1473">
        <v>0</v>
      </c>
      <c r="T85" s="1473">
        <v>0</v>
      </c>
      <c r="U85" s="1473">
        <v>0</v>
      </c>
      <c r="V85" s="1505">
        <v>0</v>
      </c>
      <c r="W85" s="1505"/>
      <c r="X85" s="1610">
        <v>0</v>
      </c>
      <c r="Y85" s="1609">
        <v>0</v>
      </c>
      <c r="Z85" s="1609">
        <v>0</v>
      </c>
      <c r="AA85" s="1609">
        <v>1</v>
      </c>
      <c r="AB85" s="1609">
        <v>30</v>
      </c>
      <c r="AC85" s="1610">
        <v>10</v>
      </c>
    </row>
    <row r="86" spans="1:29" ht="17.25" customHeight="1">
      <c r="A86" s="1605"/>
      <c r="B86" s="1613"/>
      <c r="C86" s="1614">
        <v>404</v>
      </c>
      <c r="D86" s="1615">
        <v>0</v>
      </c>
      <c r="E86" s="1616"/>
      <c r="F86" s="1617">
        <v>0</v>
      </c>
      <c r="G86" s="1618">
        <v>0</v>
      </c>
      <c r="H86" s="1615">
        <v>0</v>
      </c>
      <c r="I86" s="1616"/>
      <c r="J86" s="1617">
        <v>0</v>
      </c>
      <c r="K86" s="1617">
        <v>0</v>
      </c>
      <c r="L86" s="1618">
        <v>0</v>
      </c>
      <c r="M86" s="1617">
        <v>0</v>
      </c>
      <c r="N86" s="1617">
        <v>0</v>
      </c>
      <c r="O86" s="1618">
        <v>0</v>
      </c>
      <c r="P86" s="1617">
        <v>0</v>
      </c>
      <c r="Q86" s="1617">
        <v>0</v>
      </c>
      <c r="R86" s="1497">
        <v>1</v>
      </c>
      <c r="S86" s="1619">
        <v>0</v>
      </c>
      <c r="T86" s="1510">
        <v>388</v>
      </c>
      <c r="U86" s="1491">
        <v>378</v>
      </c>
      <c r="V86" s="1620">
        <v>93.564356435643575</v>
      </c>
      <c r="W86" s="1505"/>
      <c r="X86" s="1618">
        <v>0</v>
      </c>
      <c r="Y86" s="1617">
        <v>0</v>
      </c>
      <c r="Z86" s="1617">
        <v>0</v>
      </c>
      <c r="AA86" s="1617">
        <v>0</v>
      </c>
      <c r="AB86" s="1617">
        <v>0</v>
      </c>
      <c r="AC86" s="1618">
        <v>0</v>
      </c>
    </row>
    <row r="87" spans="1:29" ht="17.25" customHeight="1">
      <c r="A87" s="1605"/>
      <c r="B87" s="1606" t="s">
        <v>407</v>
      </c>
      <c r="C87" s="1505"/>
      <c r="D87" s="1607">
        <v>0</v>
      </c>
      <c r="E87" s="1608"/>
      <c r="F87" s="1609">
        <v>0</v>
      </c>
      <c r="G87" s="1610">
        <v>0</v>
      </c>
      <c r="H87" s="1611">
        <v>1</v>
      </c>
      <c r="I87" s="1612"/>
      <c r="J87" s="1609">
        <v>860</v>
      </c>
      <c r="K87" s="1610">
        <v>820</v>
      </c>
      <c r="L87" s="1505">
        <v>0</v>
      </c>
      <c r="M87" s="1473">
        <v>0</v>
      </c>
      <c r="N87" s="1473">
        <v>0</v>
      </c>
      <c r="O87" s="1503">
        <v>0</v>
      </c>
      <c r="P87" s="1473">
        <v>0</v>
      </c>
      <c r="Q87" s="1473">
        <v>0</v>
      </c>
      <c r="R87" s="1479">
        <v>0</v>
      </c>
      <c r="S87" s="1473">
        <v>0</v>
      </c>
      <c r="T87" s="1473">
        <v>0</v>
      </c>
      <c r="U87" s="1473">
        <v>0</v>
      </c>
      <c r="V87" s="1505">
        <v>0</v>
      </c>
      <c r="W87" s="1505"/>
      <c r="X87" s="1610">
        <v>0</v>
      </c>
      <c r="Y87" s="1609">
        <v>0</v>
      </c>
      <c r="Z87" s="1609">
        <v>0</v>
      </c>
      <c r="AA87" s="1609">
        <v>0</v>
      </c>
      <c r="AB87" s="1609">
        <v>0</v>
      </c>
      <c r="AC87" s="1610">
        <v>0</v>
      </c>
    </row>
    <row r="88" spans="1:29" ht="17.25" customHeight="1">
      <c r="A88" s="1605"/>
      <c r="B88" s="1613"/>
      <c r="C88" s="1614">
        <v>840</v>
      </c>
      <c r="D88" s="1615">
        <v>0</v>
      </c>
      <c r="E88" s="1616"/>
      <c r="F88" s="1617">
        <v>0</v>
      </c>
      <c r="G88" s="1618">
        <v>0</v>
      </c>
      <c r="H88" s="1615">
        <v>0</v>
      </c>
      <c r="I88" s="1616"/>
      <c r="J88" s="1617">
        <v>0</v>
      </c>
      <c r="K88" s="1617">
        <v>0</v>
      </c>
      <c r="L88" s="1618">
        <v>0</v>
      </c>
      <c r="M88" s="1617">
        <v>0</v>
      </c>
      <c r="N88" s="1617">
        <v>0</v>
      </c>
      <c r="O88" s="1618">
        <v>0</v>
      </c>
      <c r="P88" s="1617">
        <v>0</v>
      </c>
      <c r="Q88" s="1617">
        <v>0</v>
      </c>
      <c r="R88" s="1497">
        <v>1</v>
      </c>
      <c r="S88" s="1619">
        <v>0</v>
      </c>
      <c r="T88" s="1510">
        <v>860</v>
      </c>
      <c r="U88" s="1491">
        <v>820</v>
      </c>
      <c r="V88" s="1620">
        <v>97.61904761904762</v>
      </c>
      <c r="W88" s="1505"/>
      <c r="X88" s="1618">
        <v>0</v>
      </c>
      <c r="Y88" s="1617">
        <v>0</v>
      </c>
      <c r="Z88" s="1617">
        <v>0</v>
      </c>
      <c r="AA88" s="1617">
        <v>0</v>
      </c>
      <c r="AB88" s="1617">
        <v>0</v>
      </c>
      <c r="AC88" s="1618">
        <v>0</v>
      </c>
    </row>
    <row r="89" spans="1:29" ht="17.25" customHeight="1">
      <c r="A89" s="1605"/>
      <c r="B89" s="1606" t="s">
        <v>408</v>
      </c>
      <c r="C89" s="1505"/>
      <c r="D89" s="1607">
        <v>0</v>
      </c>
      <c r="E89" s="1608"/>
      <c r="F89" s="1609">
        <v>0</v>
      </c>
      <c r="G89" s="1610">
        <v>0</v>
      </c>
      <c r="H89" s="1611">
        <v>1</v>
      </c>
      <c r="I89" s="1612"/>
      <c r="J89" s="1609">
        <v>4100</v>
      </c>
      <c r="K89" s="1610">
        <v>3505</v>
      </c>
      <c r="L89" s="1505">
        <v>0</v>
      </c>
      <c r="M89" s="1473">
        <v>0</v>
      </c>
      <c r="N89" s="1473">
        <v>0</v>
      </c>
      <c r="O89" s="1503">
        <v>0</v>
      </c>
      <c r="P89" s="1473">
        <v>0</v>
      </c>
      <c r="Q89" s="1473">
        <v>0</v>
      </c>
      <c r="R89" s="1479">
        <v>0</v>
      </c>
      <c r="S89" s="1473">
        <v>0</v>
      </c>
      <c r="T89" s="1473">
        <v>0</v>
      </c>
      <c r="U89" s="1473">
        <v>0</v>
      </c>
      <c r="V89" s="1505">
        <v>0</v>
      </c>
      <c r="W89" s="1505"/>
      <c r="X89" s="1610">
        <v>0</v>
      </c>
      <c r="Y89" s="1609">
        <v>0</v>
      </c>
      <c r="Z89" s="1609">
        <v>0</v>
      </c>
      <c r="AA89" s="1609">
        <v>0</v>
      </c>
      <c r="AB89" s="1609">
        <v>0</v>
      </c>
      <c r="AC89" s="1610">
        <v>0</v>
      </c>
    </row>
    <row r="90" spans="1:29" ht="17.25" customHeight="1">
      <c r="A90" s="1605"/>
      <c r="B90" s="1613"/>
      <c r="C90" s="1614">
        <v>3545</v>
      </c>
      <c r="D90" s="1615">
        <v>0</v>
      </c>
      <c r="E90" s="1616"/>
      <c r="F90" s="1617">
        <v>0</v>
      </c>
      <c r="G90" s="1618">
        <v>0</v>
      </c>
      <c r="H90" s="1615">
        <v>0</v>
      </c>
      <c r="I90" s="1616"/>
      <c r="J90" s="1617">
        <v>0</v>
      </c>
      <c r="K90" s="1617">
        <v>0</v>
      </c>
      <c r="L90" s="1618">
        <v>0</v>
      </c>
      <c r="M90" s="1617">
        <v>0</v>
      </c>
      <c r="N90" s="1617">
        <v>0</v>
      </c>
      <c r="O90" s="1618">
        <v>0</v>
      </c>
      <c r="P90" s="1617">
        <v>0</v>
      </c>
      <c r="Q90" s="1617">
        <v>0</v>
      </c>
      <c r="R90" s="1479">
        <v>1</v>
      </c>
      <c r="S90" s="1555">
        <v>0</v>
      </c>
      <c r="T90" s="1505">
        <v>4100</v>
      </c>
      <c r="U90" s="1473">
        <v>3505</v>
      </c>
      <c r="V90" s="1622">
        <v>98.871650211565594</v>
      </c>
      <c r="W90" s="1505"/>
      <c r="X90" s="1618">
        <v>0</v>
      </c>
      <c r="Y90" s="1617">
        <v>0</v>
      </c>
      <c r="Z90" s="1617">
        <v>0</v>
      </c>
      <c r="AA90" s="1617">
        <v>0</v>
      </c>
      <c r="AB90" s="1617">
        <v>0</v>
      </c>
      <c r="AC90" s="1618">
        <v>0</v>
      </c>
    </row>
    <row r="91" spans="1:29" ht="18" customHeight="1">
      <c r="A91" s="1605"/>
      <c r="B91" s="1646" t="s">
        <v>409</v>
      </c>
      <c r="C91" s="1505"/>
      <c r="D91" s="1607">
        <v>0</v>
      </c>
      <c r="E91" s="1608"/>
      <c r="F91" s="1609">
        <v>0</v>
      </c>
      <c r="G91" s="1610">
        <v>0</v>
      </c>
      <c r="H91" s="1611">
        <v>1</v>
      </c>
      <c r="I91" s="1612"/>
      <c r="J91" s="1609">
        <v>720</v>
      </c>
      <c r="K91" s="1610">
        <v>474</v>
      </c>
      <c r="L91" s="1505">
        <v>0</v>
      </c>
      <c r="M91" s="1473">
        <v>0</v>
      </c>
      <c r="N91" s="1473">
        <v>0</v>
      </c>
      <c r="O91" s="1503">
        <v>0</v>
      </c>
      <c r="P91" s="1473">
        <v>0</v>
      </c>
      <c r="Q91" s="1473">
        <v>0</v>
      </c>
      <c r="R91" s="1623">
        <v>0</v>
      </c>
      <c r="S91" s="1624">
        <v>0</v>
      </c>
      <c r="T91" s="1503">
        <v>0</v>
      </c>
      <c r="U91" s="1624">
        <v>0</v>
      </c>
      <c r="V91" s="1503">
        <v>0</v>
      </c>
      <c r="W91" s="1505"/>
      <c r="X91" s="1610">
        <v>0</v>
      </c>
      <c r="Y91" s="1609">
        <v>0</v>
      </c>
      <c r="Z91" s="1609">
        <v>0</v>
      </c>
      <c r="AA91" s="1609">
        <v>0</v>
      </c>
      <c r="AB91" s="1609">
        <v>0</v>
      </c>
      <c r="AC91" s="1610">
        <v>0</v>
      </c>
    </row>
    <row r="92" spans="1:29" ht="18" customHeight="1">
      <c r="A92" s="1605"/>
      <c r="B92" s="1613"/>
      <c r="C92" s="1614">
        <v>483</v>
      </c>
      <c r="D92" s="1615">
        <v>0</v>
      </c>
      <c r="E92" s="1616"/>
      <c r="F92" s="1617">
        <v>0</v>
      </c>
      <c r="G92" s="1618">
        <v>0</v>
      </c>
      <c r="H92" s="1615">
        <v>0</v>
      </c>
      <c r="I92" s="1616"/>
      <c r="J92" s="1617">
        <v>0</v>
      </c>
      <c r="K92" s="1617">
        <v>0</v>
      </c>
      <c r="L92" s="1618">
        <v>0</v>
      </c>
      <c r="M92" s="1617">
        <v>0</v>
      </c>
      <c r="N92" s="1617">
        <v>0</v>
      </c>
      <c r="O92" s="1618">
        <v>0</v>
      </c>
      <c r="P92" s="1617">
        <v>0</v>
      </c>
      <c r="Q92" s="1617">
        <v>0</v>
      </c>
      <c r="R92" s="1497">
        <v>1</v>
      </c>
      <c r="S92" s="1619">
        <v>0</v>
      </c>
      <c r="T92" s="1510">
        <v>720</v>
      </c>
      <c r="U92" s="1491">
        <v>474</v>
      </c>
      <c r="V92" s="1620">
        <v>98.136645962732914</v>
      </c>
      <c r="W92" s="1510"/>
      <c r="X92" s="1618">
        <v>0</v>
      </c>
      <c r="Y92" s="1617">
        <v>0</v>
      </c>
      <c r="Z92" s="1617">
        <v>0</v>
      </c>
      <c r="AA92" s="1617">
        <v>0</v>
      </c>
      <c r="AB92" s="1617">
        <v>0</v>
      </c>
      <c r="AC92" s="1618">
        <v>0</v>
      </c>
    </row>
    <row r="93" spans="1:29" ht="18" customHeight="1">
      <c r="A93" s="1605"/>
      <c r="B93" s="1606" t="s">
        <v>410</v>
      </c>
      <c r="C93" s="1505"/>
      <c r="D93" s="1607">
        <v>0</v>
      </c>
      <c r="E93" s="1608"/>
      <c r="F93" s="1609">
        <v>0</v>
      </c>
      <c r="G93" s="1610">
        <v>0</v>
      </c>
      <c r="H93" s="1611">
        <v>1</v>
      </c>
      <c r="I93" s="1612"/>
      <c r="J93" s="1609">
        <v>1180</v>
      </c>
      <c r="K93" s="1610">
        <v>1034</v>
      </c>
      <c r="L93" s="1505">
        <v>0</v>
      </c>
      <c r="M93" s="1473">
        <v>0</v>
      </c>
      <c r="N93" s="1473">
        <v>0</v>
      </c>
      <c r="O93" s="1503">
        <v>0</v>
      </c>
      <c r="P93" s="1473">
        <v>0</v>
      </c>
      <c r="Q93" s="1473">
        <v>0</v>
      </c>
      <c r="R93" s="1479">
        <v>0</v>
      </c>
      <c r="S93" s="1473">
        <v>0</v>
      </c>
      <c r="T93" s="1505">
        <v>0</v>
      </c>
      <c r="U93" s="1473">
        <v>0</v>
      </c>
      <c r="V93" s="1505">
        <v>0</v>
      </c>
      <c r="W93" s="1505"/>
      <c r="X93" s="1610">
        <v>0</v>
      </c>
      <c r="Y93" s="1609">
        <v>0</v>
      </c>
      <c r="Z93" s="1609">
        <v>0</v>
      </c>
      <c r="AA93" s="1609">
        <v>5</v>
      </c>
      <c r="AB93" s="1609">
        <v>189</v>
      </c>
      <c r="AC93" s="1610">
        <v>56</v>
      </c>
    </row>
    <row r="94" spans="1:29" ht="18" customHeight="1">
      <c r="A94" s="1674"/>
      <c r="B94" s="1613"/>
      <c r="C94" s="1614">
        <v>1114</v>
      </c>
      <c r="D94" s="1615">
        <v>0</v>
      </c>
      <c r="E94" s="1616"/>
      <c r="F94" s="1617">
        <v>0</v>
      </c>
      <c r="G94" s="1618">
        <v>0</v>
      </c>
      <c r="H94" s="1615">
        <v>0</v>
      </c>
      <c r="I94" s="1616"/>
      <c r="J94" s="1617">
        <v>0</v>
      </c>
      <c r="K94" s="1617">
        <v>0</v>
      </c>
      <c r="L94" s="1618">
        <v>0</v>
      </c>
      <c r="M94" s="1617">
        <v>0</v>
      </c>
      <c r="N94" s="1617">
        <v>0</v>
      </c>
      <c r="O94" s="1618">
        <v>0</v>
      </c>
      <c r="P94" s="1617">
        <v>0</v>
      </c>
      <c r="Q94" s="1617">
        <v>0</v>
      </c>
      <c r="R94" s="1497">
        <v>1</v>
      </c>
      <c r="S94" s="1619">
        <v>0</v>
      </c>
      <c r="T94" s="1510">
        <v>1180</v>
      </c>
      <c r="U94" s="1491">
        <v>1034</v>
      </c>
      <c r="V94" s="1620">
        <v>92.818671454219029</v>
      </c>
      <c r="W94" s="1505"/>
      <c r="X94" s="1618">
        <v>1</v>
      </c>
      <c r="Y94" s="1617">
        <v>86</v>
      </c>
      <c r="Z94" s="1617">
        <v>0</v>
      </c>
      <c r="AA94" s="1617">
        <v>0</v>
      </c>
      <c r="AB94" s="1617">
        <v>0</v>
      </c>
      <c r="AC94" s="1618">
        <v>0</v>
      </c>
    </row>
    <row r="95" spans="1:29" ht="18" customHeight="1">
      <c r="A95" s="1674"/>
      <c r="B95" s="1606" t="s">
        <v>411</v>
      </c>
      <c r="C95" s="1505"/>
      <c r="D95" s="1607">
        <v>0</v>
      </c>
      <c r="E95" s="1608"/>
      <c r="F95" s="1609">
        <v>0</v>
      </c>
      <c r="G95" s="1610">
        <v>0</v>
      </c>
      <c r="H95" s="1611">
        <v>1</v>
      </c>
      <c r="I95" s="1612"/>
      <c r="J95" s="1609">
        <v>1776</v>
      </c>
      <c r="K95" s="1610">
        <v>1467</v>
      </c>
      <c r="L95" s="1505">
        <v>0</v>
      </c>
      <c r="M95" s="1473">
        <v>0</v>
      </c>
      <c r="N95" s="1473">
        <v>0</v>
      </c>
      <c r="O95" s="1503">
        <v>0</v>
      </c>
      <c r="P95" s="1473">
        <v>0</v>
      </c>
      <c r="Q95" s="1473">
        <v>0</v>
      </c>
      <c r="R95" s="1479">
        <v>0</v>
      </c>
      <c r="S95" s="1473">
        <v>0</v>
      </c>
      <c r="T95" s="1505">
        <v>0</v>
      </c>
      <c r="U95" s="1473">
        <v>0</v>
      </c>
      <c r="V95" s="1505">
        <v>0</v>
      </c>
      <c r="W95" s="1505"/>
      <c r="X95" s="1610">
        <v>0</v>
      </c>
      <c r="Y95" s="1609">
        <v>0</v>
      </c>
      <c r="Z95" s="1609">
        <v>0</v>
      </c>
      <c r="AA95" s="1609">
        <v>0</v>
      </c>
      <c r="AB95" s="1609">
        <v>0</v>
      </c>
      <c r="AC95" s="1610">
        <v>0</v>
      </c>
    </row>
    <row r="96" spans="1:29" ht="18" customHeight="1">
      <c r="A96" s="1674"/>
      <c r="B96" s="1613"/>
      <c r="C96" s="1614">
        <v>1514</v>
      </c>
      <c r="D96" s="1615">
        <v>0</v>
      </c>
      <c r="E96" s="1616"/>
      <c r="F96" s="1617">
        <v>0</v>
      </c>
      <c r="G96" s="1618">
        <v>0</v>
      </c>
      <c r="H96" s="1615">
        <v>0</v>
      </c>
      <c r="I96" s="1616"/>
      <c r="J96" s="1617">
        <v>0</v>
      </c>
      <c r="K96" s="1617">
        <v>0</v>
      </c>
      <c r="L96" s="1618">
        <v>0</v>
      </c>
      <c r="M96" s="1617">
        <v>0</v>
      </c>
      <c r="N96" s="1617">
        <v>0</v>
      </c>
      <c r="O96" s="1618">
        <v>0</v>
      </c>
      <c r="P96" s="1617">
        <v>0</v>
      </c>
      <c r="Q96" s="1617">
        <v>0</v>
      </c>
      <c r="R96" s="1497">
        <v>1</v>
      </c>
      <c r="S96" s="1619">
        <v>0</v>
      </c>
      <c r="T96" s="1510">
        <v>1776</v>
      </c>
      <c r="U96" s="1491">
        <v>1467</v>
      </c>
      <c r="V96" s="1620">
        <v>96.895640686922064</v>
      </c>
      <c r="W96" s="1505"/>
      <c r="X96" s="1618">
        <v>0</v>
      </c>
      <c r="Y96" s="1617">
        <v>0</v>
      </c>
      <c r="Z96" s="1617">
        <v>0</v>
      </c>
      <c r="AA96" s="1617">
        <v>0</v>
      </c>
      <c r="AB96" s="1617">
        <v>0</v>
      </c>
      <c r="AC96" s="1618">
        <v>0</v>
      </c>
    </row>
    <row r="97" spans="1:29" ht="18" customHeight="1">
      <c r="A97" s="1674"/>
      <c r="B97" s="1606" t="s">
        <v>412</v>
      </c>
      <c r="C97" s="1505"/>
      <c r="D97" s="1607">
        <v>1</v>
      </c>
      <c r="E97" s="1608"/>
      <c r="F97" s="1609">
        <v>6500</v>
      </c>
      <c r="G97" s="1610">
        <v>5852</v>
      </c>
      <c r="H97" s="1611">
        <v>0</v>
      </c>
      <c r="I97" s="1612"/>
      <c r="J97" s="1609">
        <v>0</v>
      </c>
      <c r="K97" s="1610">
        <v>0</v>
      </c>
      <c r="L97" s="1505">
        <v>0</v>
      </c>
      <c r="M97" s="1473">
        <v>0</v>
      </c>
      <c r="N97" s="1473">
        <v>0</v>
      </c>
      <c r="O97" s="1503">
        <v>0</v>
      </c>
      <c r="P97" s="1473">
        <v>0</v>
      </c>
      <c r="Q97" s="1473">
        <v>0</v>
      </c>
      <c r="R97" s="1479"/>
      <c r="S97" s="1473">
        <v>0</v>
      </c>
      <c r="T97" s="1505"/>
      <c r="U97" s="1473">
        <v>0</v>
      </c>
      <c r="V97" s="1505">
        <v>0</v>
      </c>
      <c r="W97" s="1505"/>
      <c r="X97" s="1610">
        <v>0</v>
      </c>
      <c r="Y97" s="1609">
        <v>0</v>
      </c>
      <c r="Z97" s="1609">
        <v>0</v>
      </c>
      <c r="AA97" s="1609">
        <v>0</v>
      </c>
      <c r="AB97" s="1609">
        <v>0</v>
      </c>
      <c r="AC97" s="1610">
        <v>0</v>
      </c>
    </row>
    <row r="98" spans="1:29" ht="18" customHeight="1">
      <c r="A98" s="1605"/>
      <c r="B98" s="1613"/>
      <c r="C98" s="1614">
        <v>5900</v>
      </c>
      <c r="D98" s="1615">
        <v>0</v>
      </c>
      <c r="E98" s="1616"/>
      <c r="F98" s="1617">
        <v>0</v>
      </c>
      <c r="G98" s="1618">
        <v>0</v>
      </c>
      <c r="H98" s="1615">
        <v>0</v>
      </c>
      <c r="I98" s="1616"/>
      <c r="J98" s="1617">
        <v>0</v>
      </c>
      <c r="K98" s="1617">
        <v>0</v>
      </c>
      <c r="L98" s="1618">
        <v>0</v>
      </c>
      <c r="M98" s="1617">
        <v>0</v>
      </c>
      <c r="N98" s="1617">
        <v>0</v>
      </c>
      <c r="O98" s="1618">
        <v>0</v>
      </c>
      <c r="P98" s="1617">
        <v>0</v>
      </c>
      <c r="Q98" s="1617">
        <v>0</v>
      </c>
      <c r="R98" s="1497">
        <v>1</v>
      </c>
      <c r="S98" s="1619">
        <v>0</v>
      </c>
      <c r="T98" s="1510">
        <v>6500</v>
      </c>
      <c r="U98" s="1491">
        <v>5852</v>
      </c>
      <c r="V98" s="1620">
        <v>99.186440677966104</v>
      </c>
      <c r="W98" s="1505"/>
      <c r="X98" s="1618">
        <v>1</v>
      </c>
      <c r="Y98" s="1617">
        <v>94</v>
      </c>
      <c r="Z98" s="1617">
        <v>0</v>
      </c>
      <c r="AA98" s="1617">
        <v>0</v>
      </c>
      <c r="AB98" s="1617">
        <v>0</v>
      </c>
      <c r="AC98" s="1618">
        <v>0</v>
      </c>
    </row>
    <row r="99" spans="1:29" ht="18" customHeight="1">
      <c r="A99" s="1605"/>
      <c r="B99" s="1606" t="s">
        <v>413</v>
      </c>
      <c r="C99" s="1505"/>
      <c r="D99" s="1607">
        <v>1</v>
      </c>
      <c r="E99" s="1608"/>
      <c r="F99" s="1609">
        <v>6930</v>
      </c>
      <c r="G99" s="1610">
        <v>6407</v>
      </c>
      <c r="H99" s="1611">
        <v>0</v>
      </c>
      <c r="I99" s="1612"/>
      <c r="J99" s="1609">
        <v>0</v>
      </c>
      <c r="K99" s="1610">
        <v>0</v>
      </c>
      <c r="L99" s="1505">
        <v>0</v>
      </c>
      <c r="M99" s="1473">
        <v>0</v>
      </c>
      <c r="N99" s="1473">
        <v>0</v>
      </c>
      <c r="O99" s="1503">
        <v>0</v>
      </c>
      <c r="P99" s="1473">
        <v>0</v>
      </c>
      <c r="Q99" s="1473">
        <v>0</v>
      </c>
      <c r="R99" s="1479">
        <v>0</v>
      </c>
      <c r="S99" s="1473">
        <v>0</v>
      </c>
      <c r="T99" s="1505">
        <v>0</v>
      </c>
      <c r="U99" s="1473">
        <v>0</v>
      </c>
      <c r="V99" s="1505">
        <v>0</v>
      </c>
      <c r="W99" s="1505"/>
      <c r="X99" s="1610">
        <v>0</v>
      </c>
      <c r="Y99" s="1609">
        <v>0</v>
      </c>
      <c r="Z99" s="1609">
        <v>0</v>
      </c>
      <c r="AA99" s="1609">
        <v>0</v>
      </c>
      <c r="AB99" s="1609">
        <v>0</v>
      </c>
      <c r="AC99" s="1610">
        <v>0</v>
      </c>
    </row>
    <row r="100" spans="1:29" ht="18" customHeight="1">
      <c r="A100" s="1605"/>
      <c r="B100" s="1613"/>
      <c r="C100" s="1614">
        <v>6443</v>
      </c>
      <c r="D100" s="1615">
        <v>0</v>
      </c>
      <c r="E100" s="1616"/>
      <c r="F100" s="1617">
        <v>0</v>
      </c>
      <c r="G100" s="1618">
        <v>0</v>
      </c>
      <c r="H100" s="1615">
        <v>0</v>
      </c>
      <c r="I100" s="1616"/>
      <c r="J100" s="1617">
        <v>0</v>
      </c>
      <c r="K100" s="1617">
        <v>0</v>
      </c>
      <c r="L100" s="1618">
        <v>0</v>
      </c>
      <c r="M100" s="1617">
        <v>0</v>
      </c>
      <c r="N100" s="1617">
        <v>0</v>
      </c>
      <c r="O100" s="1618">
        <v>0</v>
      </c>
      <c r="P100" s="1617">
        <v>0</v>
      </c>
      <c r="Q100" s="1617">
        <v>0</v>
      </c>
      <c r="R100" s="1479">
        <v>1</v>
      </c>
      <c r="S100" s="1621">
        <v>0</v>
      </c>
      <c r="T100" s="1505">
        <v>6930</v>
      </c>
      <c r="U100" s="1473">
        <v>6407</v>
      </c>
      <c r="V100" s="1622">
        <v>99.441254074189047</v>
      </c>
      <c r="W100" s="1505"/>
      <c r="X100" s="1618">
        <v>0</v>
      </c>
      <c r="Y100" s="1617">
        <v>0</v>
      </c>
      <c r="Z100" s="1617">
        <v>0</v>
      </c>
      <c r="AA100" s="1617">
        <v>0</v>
      </c>
      <c r="AB100" s="1617">
        <v>0</v>
      </c>
      <c r="AC100" s="1618">
        <v>0</v>
      </c>
    </row>
    <row r="101" spans="1:29" ht="17.25" customHeight="1">
      <c r="A101" s="1605"/>
      <c r="B101" s="1646" t="s">
        <v>414</v>
      </c>
      <c r="C101" s="1505"/>
      <c r="D101" s="1607">
        <v>0</v>
      </c>
      <c r="E101" s="1608"/>
      <c r="F101" s="1609">
        <v>0</v>
      </c>
      <c r="G101" s="1610">
        <v>0</v>
      </c>
      <c r="H101" s="1611">
        <v>1</v>
      </c>
      <c r="I101" s="1612"/>
      <c r="J101" s="1609">
        <v>920</v>
      </c>
      <c r="K101" s="1610">
        <v>702</v>
      </c>
      <c r="L101" s="1505">
        <v>0</v>
      </c>
      <c r="M101" s="1473">
        <v>0</v>
      </c>
      <c r="N101" s="1473">
        <v>0</v>
      </c>
      <c r="O101" s="1503">
        <v>0</v>
      </c>
      <c r="P101" s="1473">
        <v>0</v>
      </c>
      <c r="Q101" s="1473">
        <v>0</v>
      </c>
      <c r="R101" s="1623">
        <v>0</v>
      </c>
      <c r="S101" s="1624">
        <v>0</v>
      </c>
      <c r="T101" s="1624">
        <v>0</v>
      </c>
      <c r="U101" s="1624">
        <v>0</v>
      </c>
      <c r="V101" s="1503">
        <v>0</v>
      </c>
      <c r="W101" s="1505"/>
      <c r="X101" s="1610">
        <v>0</v>
      </c>
      <c r="Y101" s="1609">
        <v>0</v>
      </c>
      <c r="Z101" s="1609">
        <v>0</v>
      </c>
      <c r="AA101" s="1609">
        <v>0</v>
      </c>
      <c r="AB101" s="1609">
        <v>0</v>
      </c>
      <c r="AC101" s="1610">
        <v>0</v>
      </c>
    </row>
    <row r="102" spans="1:29" ht="17.25" customHeight="1">
      <c r="A102" s="1605"/>
      <c r="B102" s="1613"/>
      <c r="C102" s="1614">
        <v>921</v>
      </c>
      <c r="D102" s="1615">
        <v>0</v>
      </c>
      <c r="E102" s="1616"/>
      <c r="F102" s="1617">
        <v>0</v>
      </c>
      <c r="G102" s="1618">
        <v>0</v>
      </c>
      <c r="H102" s="1615">
        <v>0</v>
      </c>
      <c r="I102" s="1616"/>
      <c r="J102" s="1617">
        <v>0</v>
      </c>
      <c r="K102" s="1617">
        <v>0</v>
      </c>
      <c r="L102" s="1618">
        <v>1</v>
      </c>
      <c r="M102" s="1617">
        <v>200</v>
      </c>
      <c r="N102" s="1617">
        <v>87</v>
      </c>
      <c r="O102" s="1618">
        <v>0</v>
      </c>
      <c r="P102" s="1617">
        <v>0</v>
      </c>
      <c r="Q102" s="1617">
        <v>0</v>
      </c>
      <c r="R102" s="1497">
        <v>2</v>
      </c>
      <c r="S102" s="1619">
        <v>0</v>
      </c>
      <c r="T102" s="1510">
        <v>1120</v>
      </c>
      <c r="U102" s="1491">
        <v>789</v>
      </c>
      <c r="V102" s="1620">
        <v>85.667752442996743</v>
      </c>
      <c r="W102" s="1505"/>
      <c r="X102" s="1618">
        <v>0</v>
      </c>
      <c r="Y102" s="1617">
        <v>0</v>
      </c>
      <c r="Z102" s="1617">
        <v>0</v>
      </c>
      <c r="AA102" s="1617">
        <v>1</v>
      </c>
      <c r="AB102" s="1617">
        <v>49</v>
      </c>
      <c r="AC102" s="1618">
        <v>33</v>
      </c>
    </row>
    <row r="103" spans="1:29" s="1675" customFormat="1" ht="17.25" customHeight="1">
      <c r="A103" s="1627"/>
      <c r="B103" s="1628"/>
      <c r="C103" s="1629">
        <v>0</v>
      </c>
      <c r="D103" s="1634">
        <v>6</v>
      </c>
      <c r="E103" s="1671">
        <v>0</v>
      </c>
      <c r="F103" s="1634">
        <v>147970</v>
      </c>
      <c r="G103" s="1634">
        <v>134383</v>
      </c>
      <c r="H103" s="1634">
        <v>10</v>
      </c>
      <c r="I103" s="1671">
        <v>0</v>
      </c>
      <c r="J103" s="1634">
        <v>18954</v>
      </c>
      <c r="K103" s="1634">
        <v>16338</v>
      </c>
      <c r="L103" s="1634">
        <v>0</v>
      </c>
      <c r="M103" s="1634">
        <v>0</v>
      </c>
      <c r="N103" s="1672">
        <v>0</v>
      </c>
      <c r="O103" s="1672">
        <v>0</v>
      </c>
      <c r="P103" s="1634">
        <v>0</v>
      </c>
      <c r="Q103" s="1672">
        <v>0</v>
      </c>
      <c r="R103" s="1634">
        <v>0</v>
      </c>
      <c r="S103" s="1629">
        <v>0</v>
      </c>
      <c r="T103" s="1634">
        <v>0</v>
      </c>
      <c r="U103" s="1634">
        <v>0</v>
      </c>
      <c r="V103" s="1672">
        <v>0</v>
      </c>
      <c r="W103" s="1505">
        <v>0</v>
      </c>
      <c r="X103" s="1634">
        <v>0</v>
      </c>
      <c r="Y103" s="1634">
        <v>0</v>
      </c>
      <c r="Z103" s="1634">
        <v>0</v>
      </c>
      <c r="AA103" s="1634">
        <v>7</v>
      </c>
      <c r="AB103" s="1634">
        <v>249</v>
      </c>
      <c r="AC103" s="1672">
        <v>84</v>
      </c>
    </row>
    <row r="104" spans="1:29" s="1675" customFormat="1" ht="17.25" customHeight="1">
      <c r="A104" s="1636"/>
      <c r="B104" s="1648" t="s">
        <v>346</v>
      </c>
      <c r="C104" s="1649">
        <v>152775</v>
      </c>
      <c r="D104" s="1639">
        <v>0</v>
      </c>
      <c r="E104" s="1640">
        <v>0</v>
      </c>
      <c r="F104" s="1639">
        <v>0</v>
      </c>
      <c r="G104" s="1639">
        <v>0</v>
      </c>
      <c r="H104" s="1639">
        <v>0</v>
      </c>
      <c r="I104" s="1640">
        <v>0</v>
      </c>
      <c r="J104" s="1639">
        <v>0</v>
      </c>
      <c r="K104" s="1641">
        <v>0</v>
      </c>
      <c r="L104" s="1639">
        <v>1</v>
      </c>
      <c r="M104" s="1639">
        <v>200</v>
      </c>
      <c r="N104" s="1641">
        <v>87</v>
      </c>
      <c r="O104" s="1641">
        <v>0</v>
      </c>
      <c r="P104" s="1639">
        <v>0</v>
      </c>
      <c r="Q104" s="1641">
        <v>0</v>
      </c>
      <c r="R104" s="1642">
        <v>17</v>
      </c>
      <c r="S104" s="1652">
        <v>0</v>
      </c>
      <c r="T104" s="1642">
        <v>167124</v>
      </c>
      <c r="U104" s="1642">
        <v>150808</v>
      </c>
      <c r="V104" s="1645">
        <v>98.712485681557851</v>
      </c>
      <c r="W104" s="1510">
        <v>0</v>
      </c>
      <c r="X104" s="1639">
        <v>5</v>
      </c>
      <c r="Y104" s="1639">
        <v>345</v>
      </c>
      <c r="Z104" s="1639">
        <v>0</v>
      </c>
      <c r="AA104" s="1639">
        <v>7</v>
      </c>
      <c r="AB104" s="1639">
        <v>147</v>
      </c>
      <c r="AC104" s="1641">
        <v>106</v>
      </c>
    </row>
    <row r="105" spans="1:29" ht="18" customHeight="1">
      <c r="A105" s="1605" t="s">
        <v>415</v>
      </c>
      <c r="B105" s="1646" t="s">
        <v>416</v>
      </c>
      <c r="C105" s="1505"/>
      <c r="D105" s="1611">
        <v>1</v>
      </c>
      <c r="E105" s="1612">
        <v>1</v>
      </c>
      <c r="F105" s="1609">
        <v>21</v>
      </c>
      <c r="G105" s="1610">
        <v>10</v>
      </c>
      <c r="H105" s="1611">
        <v>1</v>
      </c>
      <c r="I105" s="1612"/>
      <c r="J105" s="1609">
        <v>4600</v>
      </c>
      <c r="K105" s="1610">
        <v>3885</v>
      </c>
      <c r="L105" s="1505">
        <v>0</v>
      </c>
      <c r="M105" s="1473">
        <v>0</v>
      </c>
      <c r="N105" s="1473">
        <v>0</v>
      </c>
      <c r="O105" s="1505">
        <v>0</v>
      </c>
      <c r="P105" s="1473">
        <v>0</v>
      </c>
      <c r="Q105" s="1473">
        <v>0</v>
      </c>
      <c r="R105" s="1479">
        <v>0</v>
      </c>
      <c r="S105" s="1473">
        <v>0</v>
      </c>
      <c r="T105" s="1473">
        <v>0</v>
      </c>
      <c r="U105" s="1473">
        <v>0</v>
      </c>
      <c r="V105" s="1505">
        <v>0</v>
      </c>
      <c r="W105" s="1505"/>
      <c r="X105" s="1610">
        <v>0</v>
      </c>
      <c r="Y105" s="1609">
        <v>0</v>
      </c>
      <c r="Z105" s="1609">
        <v>0</v>
      </c>
      <c r="AA105" s="1609">
        <v>1</v>
      </c>
      <c r="AB105" s="1609">
        <v>49</v>
      </c>
      <c r="AC105" s="1610">
        <v>38</v>
      </c>
    </row>
    <row r="106" spans="1:29" ht="18" customHeight="1">
      <c r="A106" s="1605" t="s">
        <v>417</v>
      </c>
      <c r="B106" s="1613"/>
      <c r="C106" s="1614">
        <v>4015</v>
      </c>
      <c r="D106" s="1615">
        <v>0</v>
      </c>
      <c r="E106" s="1616"/>
      <c r="F106" s="1617">
        <v>0</v>
      </c>
      <c r="G106" s="1618">
        <v>0</v>
      </c>
      <c r="H106" s="1615">
        <v>0</v>
      </c>
      <c r="I106" s="1616"/>
      <c r="J106" s="1617">
        <v>0</v>
      </c>
      <c r="K106" s="1617">
        <v>0</v>
      </c>
      <c r="L106" s="1618">
        <v>0</v>
      </c>
      <c r="M106" s="1617">
        <v>0</v>
      </c>
      <c r="N106" s="1617">
        <v>0</v>
      </c>
      <c r="O106" s="1618">
        <v>0</v>
      </c>
      <c r="P106" s="1617">
        <v>0</v>
      </c>
      <c r="Q106" s="1617">
        <v>0</v>
      </c>
      <c r="R106" s="1497">
        <v>2</v>
      </c>
      <c r="S106" s="1619">
        <v>1</v>
      </c>
      <c r="T106" s="1510">
        <v>4621</v>
      </c>
      <c r="U106" s="1491">
        <v>3895</v>
      </c>
      <c r="V106" s="1620">
        <v>97.011207970112082</v>
      </c>
      <c r="W106" s="1505"/>
      <c r="X106" s="1618">
        <v>0</v>
      </c>
      <c r="Y106" s="1617">
        <v>0</v>
      </c>
      <c r="Z106" s="1617">
        <v>0</v>
      </c>
      <c r="AA106" s="1617">
        <v>1</v>
      </c>
      <c r="AB106" s="1617">
        <v>15</v>
      </c>
      <c r="AC106" s="1618">
        <v>8</v>
      </c>
    </row>
    <row r="107" spans="1:29" ht="18" customHeight="1">
      <c r="A107" s="1605"/>
      <c r="B107" s="1606" t="s">
        <v>418</v>
      </c>
      <c r="C107" s="1505"/>
      <c r="D107" s="1607">
        <v>0</v>
      </c>
      <c r="E107" s="1608"/>
      <c r="F107" s="1609">
        <v>0</v>
      </c>
      <c r="G107" s="1610">
        <v>0</v>
      </c>
      <c r="H107" s="1611">
        <v>1</v>
      </c>
      <c r="I107" s="1612"/>
      <c r="J107" s="1609">
        <v>4000</v>
      </c>
      <c r="K107" s="1610">
        <v>3422</v>
      </c>
      <c r="L107" s="1505">
        <v>0</v>
      </c>
      <c r="M107" s="1473">
        <v>0</v>
      </c>
      <c r="N107" s="1473">
        <v>0</v>
      </c>
      <c r="O107" s="1503">
        <v>0</v>
      </c>
      <c r="P107" s="1473">
        <v>0</v>
      </c>
      <c r="Q107" s="1473">
        <v>0</v>
      </c>
      <c r="R107" s="1479">
        <v>0</v>
      </c>
      <c r="S107" s="1473">
        <v>0</v>
      </c>
      <c r="T107" s="1473">
        <v>0</v>
      </c>
      <c r="U107" s="1473">
        <v>0</v>
      </c>
      <c r="V107" s="1505">
        <v>0</v>
      </c>
      <c r="W107" s="1505"/>
      <c r="X107" s="1610">
        <v>0</v>
      </c>
      <c r="Y107" s="1609">
        <v>0</v>
      </c>
      <c r="Z107" s="1609">
        <v>0</v>
      </c>
      <c r="AA107" s="1609">
        <v>0</v>
      </c>
      <c r="AB107" s="1609">
        <v>0</v>
      </c>
      <c r="AC107" s="1610">
        <v>0</v>
      </c>
    </row>
    <row r="108" spans="1:29" ht="18" customHeight="1">
      <c r="A108" s="1605"/>
      <c r="B108" s="1613"/>
      <c r="C108" s="1614">
        <v>3854</v>
      </c>
      <c r="D108" s="1615">
        <v>0</v>
      </c>
      <c r="E108" s="1616"/>
      <c r="F108" s="1617">
        <v>0</v>
      </c>
      <c r="G108" s="1618">
        <v>0</v>
      </c>
      <c r="H108" s="1615">
        <v>0</v>
      </c>
      <c r="I108" s="1616"/>
      <c r="J108" s="1617">
        <v>0</v>
      </c>
      <c r="K108" s="1617">
        <v>0</v>
      </c>
      <c r="L108" s="1618">
        <v>0</v>
      </c>
      <c r="M108" s="1617">
        <v>0</v>
      </c>
      <c r="N108" s="1617">
        <v>0</v>
      </c>
      <c r="O108" s="1618">
        <v>0</v>
      </c>
      <c r="P108" s="1617">
        <v>0</v>
      </c>
      <c r="Q108" s="1617">
        <v>0</v>
      </c>
      <c r="R108" s="1497">
        <v>1</v>
      </c>
      <c r="S108" s="1619">
        <v>0</v>
      </c>
      <c r="T108" s="1510">
        <v>4000</v>
      </c>
      <c r="U108" s="1491">
        <v>3422</v>
      </c>
      <c r="V108" s="1620">
        <v>88.790866632070575</v>
      </c>
      <c r="W108" s="1505"/>
      <c r="X108" s="1618">
        <v>3</v>
      </c>
      <c r="Y108" s="1617">
        <v>242</v>
      </c>
      <c r="Z108" s="1617">
        <v>151</v>
      </c>
      <c r="AA108" s="1617">
        <v>14</v>
      </c>
      <c r="AB108" s="1617">
        <v>348</v>
      </c>
      <c r="AC108" s="1618">
        <v>209</v>
      </c>
    </row>
    <row r="109" spans="1:29" ht="18" customHeight="1">
      <c r="A109" s="1605"/>
      <c r="B109" s="1606" t="s">
        <v>419</v>
      </c>
      <c r="C109" s="1505"/>
      <c r="D109" s="1607">
        <v>1</v>
      </c>
      <c r="E109" s="1608"/>
      <c r="F109" s="1609">
        <v>5079</v>
      </c>
      <c r="G109" s="1610">
        <v>4689</v>
      </c>
      <c r="H109" s="1611">
        <v>10</v>
      </c>
      <c r="I109" s="1612"/>
      <c r="J109" s="1609">
        <v>8239</v>
      </c>
      <c r="K109" s="1610">
        <v>5295</v>
      </c>
      <c r="L109" s="1505">
        <v>0</v>
      </c>
      <c r="M109" s="1473">
        <v>0</v>
      </c>
      <c r="N109" s="1473">
        <v>0</v>
      </c>
      <c r="O109" s="1503">
        <v>0</v>
      </c>
      <c r="P109" s="1473">
        <v>0</v>
      </c>
      <c r="Q109" s="1473">
        <v>0</v>
      </c>
      <c r="R109" s="1479">
        <v>0</v>
      </c>
      <c r="S109" s="1473">
        <v>0</v>
      </c>
      <c r="T109" s="1473">
        <v>0</v>
      </c>
      <c r="U109" s="1473">
        <v>0</v>
      </c>
      <c r="V109" s="1505">
        <v>0</v>
      </c>
      <c r="W109" s="1505"/>
      <c r="X109" s="1610">
        <v>1</v>
      </c>
      <c r="Y109" s="1609">
        <v>95</v>
      </c>
      <c r="Z109" s="1609">
        <v>39</v>
      </c>
      <c r="AA109" s="1609">
        <v>14</v>
      </c>
      <c r="AB109" s="1609">
        <v>453</v>
      </c>
      <c r="AC109" s="1610">
        <v>188</v>
      </c>
    </row>
    <row r="110" spans="1:29" ht="18" customHeight="1">
      <c r="A110" s="1605"/>
      <c r="B110" s="1613"/>
      <c r="C110" s="1614">
        <v>10355</v>
      </c>
      <c r="D110" s="1615">
        <v>0</v>
      </c>
      <c r="E110" s="1616"/>
      <c r="F110" s="1617">
        <v>0</v>
      </c>
      <c r="G110" s="1618">
        <v>0</v>
      </c>
      <c r="H110" s="1615">
        <v>1</v>
      </c>
      <c r="I110" s="1616"/>
      <c r="J110" s="1617">
        <v>1212</v>
      </c>
      <c r="K110" s="1617">
        <v>47</v>
      </c>
      <c r="L110" s="1618">
        <v>1</v>
      </c>
      <c r="M110" s="1617">
        <v>1393</v>
      </c>
      <c r="N110" s="1617">
        <v>45</v>
      </c>
      <c r="O110" s="1618">
        <v>0</v>
      </c>
      <c r="P110" s="1617">
        <v>0</v>
      </c>
      <c r="Q110" s="1617">
        <v>0</v>
      </c>
      <c r="R110" s="1497">
        <v>13</v>
      </c>
      <c r="S110" s="1619">
        <v>0</v>
      </c>
      <c r="T110" s="1510">
        <v>15923</v>
      </c>
      <c r="U110" s="1491">
        <v>10076</v>
      </c>
      <c r="V110" s="1620">
        <v>97.305649444712699</v>
      </c>
      <c r="W110" s="1505"/>
      <c r="X110" s="1618">
        <v>2</v>
      </c>
      <c r="Y110" s="1617">
        <v>140</v>
      </c>
      <c r="Z110" s="1617">
        <v>23</v>
      </c>
      <c r="AA110" s="1617">
        <v>2</v>
      </c>
      <c r="AB110" s="1617">
        <v>75</v>
      </c>
      <c r="AC110" s="1618">
        <v>16</v>
      </c>
    </row>
    <row r="111" spans="1:29" ht="18" customHeight="1">
      <c r="A111" s="1605"/>
      <c r="B111" s="1606" t="s">
        <v>420</v>
      </c>
      <c r="C111" s="1505"/>
      <c r="D111" s="1607">
        <v>0</v>
      </c>
      <c r="E111" s="1608"/>
      <c r="F111" s="1609">
        <v>0</v>
      </c>
      <c r="G111" s="1610">
        <v>0</v>
      </c>
      <c r="H111" s="1611">
        <v>1</v>
      </c>
      <c r="I111" s="1612"/>
      <c r="J111" s="1609">
        <v>3200</v>
      </c>
      <c r="K111" s="1610">
        <v>2611</v>
      </c>
      <c r="L111" s="1505">
        <v>0</v>
      </c>
      <c r="M111" s="1473">
        <v>0</v>
      </c>
      <c r="N111" s="1473">
        <v>0</v>
      </c>
      <c r="O111" s="1503">
        <v>0</v>
      </c>
      <c r="P111" s="1473">
        <v>0</v>
      </c>
      <c r="Q111" s="1473">
        <v>0</v>
      </c>
      <c r="R111" s="1479">
        <v>0</v>
      </c>
      <c r="S111" s="1473">
        <v>0</v>
      </c>
      <c r="T111" s="1473">
        <v>0</v>
      </c>
      <c r="U111" s="1473">
        <v>0</v>
      </c>
      <c r="V111" s="1505">
        <v>0</v>
      </c>
      <c r="W111" s="1505"/>
      <c r="X111" s="1610">
        <v>0</v>
      </c>
      <c r="Y111" s="1609">
        <v>0</v>
      </c>
      <c r="Z111" s="1609">
        <v>0</v>
      </c>
      <c r="AA111" s="1609">
        <v>0</v>
      </c>
      <c r="AB111" s="1609">
        <v>0</v>
      </c>
      <c r="AC111" s="1610">
        <v>0</v>
      </c>
    </row>
    <row r="112" spans="1:29" ht="18" customHeight="1">
      <c r="A112" s="1605"/>
      <c r="B112" s="1613"/>
      <c r="C112" s="1614">
        <v>2616</v>
      </c>
      <c r="D112" s="1615">
        <v>0</v>
      </c>
      <c r="E112" s="1616"/>
      <c r="F112" s="1617">
        <v>0</v>
      </c>
      <c r="G112" s="1618">
        <v>0</v>
      </c>
      <c r="H112" s="1615">
        <v>0</v>
      </c>
      <c r="I112" s="1616"/>
      <c r="J112" s="1617">
        <v>0</v>
      </c>
      <c r="K112" s="1617">
        <v>0</v>
      </c>
      <c r="L112" s="1618">
        <v>0</v>
      </c>
      <c r="M112" s="1617">
        <v>0</v>
      </c>
      <c r="N112" s="1617">
        <v>0</v>
      </c>
      <c r="O112" s="1618">
        <v>0</v>
      </c>
      <c r="P112" s="1617">
        <v>0</v>
      </c>
      <c r="Q112" s="1617">
        <v>0</v>
      </c>
      <c r="R112" s="1479">
        <v>1</v>
      </c>
      <c r="S112" s="1555">
        <v>0</v>
      </c>
      <c r="T112" s="1505">
        <v>3200</v>
      </c>
      <c r="U112" s="1473">
        <v>2611</v>
      </c>
      <c r="V112" s="1622">
        <v>99.808868501529048</v>
      </c>
      <c r="W112" s="1505"/>
      <c r="X112" s="1618">
        <v>0</v>
      </c>
      <c r="Y112" s="1617">
        <v>0</v>
      </c>
      <c r="Z112" s="1617">
        <v>0</v>
      </c>
      <c r="AA112" s="1617">
        <v>0</v>
      </c>
      <c r="AB112" s="1617">
        <v>0</v>
      </c>
      <c r="AC112" s="1618">
        <v>0</v>
      </c>
    </row>
    <row r="113" spans="1:29" ht="18" customHeight="1">
      <c r="A113" s="1605"/>
      <c r="B113" s="1646" t="s">
        <v>421</v>
      </c>
      <c r="C113" s="1505"/>
      <c r="D113" s="1607">
        <v>0</v>
      </c>
      <c r="E113" s="1608"/>
      <c r="F113" s="1609">
        <v>0</v>
      </c>
      <c r="G113" s="1610">
        <v>0</v>
      </c>
      <c r="H113" s="1611">
        <v>4</v>
      </c>
      <c r="I113" s="1612"/>
      <c r="J113" s="1609">
        <v>4380</v>
      </c>
      <c r="K113" s="1610">
        <v>708</v>
      </c>
      <c r="L113" s="1505">
        <v>0</v>
      </c>
      <c r="M113" s="1473">
        <v>0</v>
      </c>
      <c r="N113" s="1473">
        <v>0</v>
      </c>
      <c r="O113" s="1503">
        <v>0</v>
      </c>
      <c r="P113" s="1473">
        <v>0</v>
      </c>
      <c r="Q113" s="1473">
        <v>0</v>
      </c>
      <c r="R113" s="1623">
        <v>0</v>
      </c>
      <c r="S113" s="1624">
        <v>0</v>
      </c>
      <c r="T113" s="1624">
        <v>0</v>
      </c>
      <c r="U113" s="1624">
        <v>0</v>
      </c>
      <c r="V113" s="1503">
        <v>0</v>
      </c>
      <c r="W113" s="1505"/>
      <c r="X113" s="1610">
        <v>0</v>
      </c>
      <c r="Y113" s="1609">
        <v>0</v>
      </c>
      <c r="Z113" s="1609">
        <v>0</v>
      </c>
      <c r="AA113" s="1609">
        <v>1</v>
      </c>
      <c r="AB113" s="1609">
        <v>24</v>
      </c>
      <c r="AC113" s="1610">
        <v>4</v>
      </c>
    </row>
    <row r="114" spans="1:29" ht="18" customHeight="1">
      <c r="A114" s="1605"/>
      <c r="B114" s="1613"/>
      <c r="C114" s="1614">
        <v>712</v>
      </c>
      <c r="D114" s="1615">
        <v>0</v>
      </c>
      <c r="E114" s="1616"/>
      <c r="F114" s="1617">
        <v>0</v>
      </c>
      <c r="G114" s="1618">
        <v>0</v>
      </c>
      <c r="H114" s="1615">
        <v>0</v>
      </c>
      <c r="I114" s="1616"/>
      <c r="J114" s="1617">
        <v>0</v>
      </c>
      <c r="K114" s="1617">
        <v>0</v>
      </c>
      <c r="L114" s="1618">
        <v>0</v>
      </c>
      <c r="M114" s="1617">
        <v>0</v>
      </c>
      <c r="N114" s="1617">
        <v>0</v>
      </c>
      <c r="O114" s="1618">
        <v>0</v>
      </c>
      <c r="P114" s="1617">
        <v>0</v>
      </c>
      <c r="Q114" s="1617">
        <v>0</v>
      </c>
      <c r="R114" s="1497">
        <v>4</v>
      </c>
      <c r="S114" s="1619">
        <v>0</v>
      </c>
      <c r="T114" s="1510">
        <v>4380</v>
      </c>
      <c r="U114" s="1491">
        <v>708</v>
      </c>
      <c r="V114" s="1620">
        <v>99.438202247191015</v>
      </c>
      <c r="W114" s="1510"/>
      <c r="X114" s="1618">
        <v>0</v>
      </c>
      <c r="Y114" s="1617">
        <v>0</v>
      </c>
      <c r="Z114" s="1617">
        <v>0</v>
      </c>
      <c r="AA114" s="1617">
        <v>0</v>
      </c>
      <c r="AB114" s="1617">
        <v>0</v>
      </c>
      <c r="AC114" s="1618">
        <v>0</v>
      </c>
    </row>
    <row r="115" spans="1:29" ht="18" customHeight="1">
      <c r="A115" s="1605"/>
      <c r="B115" s="1606" t="s">
        <v>422</v>
      </c>
      <c r="C115" s="1505"/>
      <c r="D115" s="1607">
        <v>0</v>
      </c>
      <c r="E115" s="1608"/>
      <c r="F115" s="1609">
        <v>0</v>
      </c>
      <c r="G115" s="1610">
        <v>0</v>
      </c>
      <c r="H115" s="1611">
        <v>1</v>
      </c>
      <c r="I115" s="1612"/>
      <c r="J115" s="1609">
        <v>4100</v>
      </c>
      <c r="K115" s="1610">
        <v>3393</v>
      </c>
      <c r="L115" s="1505">
        <v>0</v>
      </c>
      <c r="M115" s="1473">
        <v>0</v>
      </c>
      <c r="N115" s="1473">
        <v>0</v>
      </c>
      <c r="O115" s="1503">
        <v>0</v>
      </c>
      <c r="P115" s="1473">
        <v>0</v>
      </c>
      <c r="Q115" s="1473">
        <v>0</v>
      </c>
      <c r="R115" s="1479">
        <v>0</v>
      </c>
      <c r="S115" s="1473">
        <v>0</v>
      </c>
      <c r="T115" s="1473">
        <v>0</v>
      </c>
      <c r="U115" s="1473">
        <v>0</v>
      </c>
      <c r="V115" s="1505">
        <v>0</v>
      </c>
      <c r="W115" s="1505"/>
      <c r="X115" s="1610">
        <v>0</v>
      </c>
      <c r="Y115" s="1609">
        <v>0</v>
      </c>
      <c r="Z115" s="1609">
        <v>0</v>
      </c>
      <c r="AA115" s="1609">
        <v>0</v>
      </c>
      <c r="AB115" s="1609">
        <v>0</v>
      </c>
      <c r="AC115" s="1610">
        <v>0</v>
      </c>
    </row>
    <row r="116" spans="1:29" ht="18" customHeight="1">
      <c r="A116" s="1605"/>
      <c r="B116" s="1613"/>
      <c r="C116" s="1614">
        <v>3396</v>
      </c>
      <c r="D116" s="1615">
        <v>0</v>
      </c>
      <c r="E116" s="1616"/>
      <c r="F116" s="1617">
        <v>0</v>
      </c>
      <c r="G116" s="1618">
        <v>0</v>
      </c>
      <c r="H116" s="1615">
        <v>0</v>
      </c>
      <c r="I116" s="1616"/>
      <c r="J116" s="1617">
        <v>0</v>
      </c>
      <c r="K116" s="1617">
        <v>0</v>
      </c>
      <c r="L116" s="1618">
        <v>0</v>
      </c>
      <c r="M116" s="1617">
        <v>0</v>
      </c>
      <c r="N116" s="1617">
        <v>0</v>
      </c>
      <c r="O116" s="1618">
        <v>0</v>
      </c>
      <c r="P116" s="1617">
        <v>0</v>
      </c>
      <c r="Q116" s="1617">
        <v>0</v>
      </c>
      <c r="R116" s="1497">
        <v>1</v>
      </c>
      <c r="S116" s="1655">
        <v>0</v>
      </c>
      <c r="T116" s="1510">
        <v>4100</v>
      </c>
      <c r="U116" s="1491">
        <v>3393</v>
      </c>
      <c r="V116" s="1620">
        <v>99.911660777385151</v>
      </c>
      <c r="W116" s="1510"/>
      <c r="X116" s="1618">
        <v>0</v>
      </c>
      <c r="Y116" s="1617">
        <v>0</v>
      </c>
      <c r="Z116" s="1617">
        <v>0</v>
      </c>
      <c r="AA116" s="1617">
        <v>0</v>
      </c>
      <c r="AB116" s="1617">
        <v>0</v>
      </c>
      <c r="AC116" s="1618">
        <v>0</v>
      </c>
    </row>
    <row r="117" spans="1:29" s="1675" customFormat="1" ht="17.25" customHeight="1">
      <c r="A117" s="1627"/>
      <c r="B117" s="1628"/>
      <c r="C117" s="1629">
        <v>0</v>
      </c>
      <c r="D117" s="1630">
        <v>2</v>
      </c>
      <c r="E117" s="1676">
        <v>1</v>
      </c>
      <c r="F117" s="1630">
        <v>5100</v>
      </c>
      <c r="G117" s="1630">
        <v>4699</v>
      </c>
      <c r="H117" s="1630">
        <v>18</v>
      </c>
      <c r="I117" s="1676">
        <v>0</v>
      </c>
      <c r="J117" s="1630">
        <v>28519</v>
      </c>
      <c r="K117" s="1630">
        <v>19314</v>
      </c>
      <c r="L117" s="1632">
        <v>0</v>
      </c>
      <c r="M117" s="1632">
        <v>0</v>
      </c>
      <c r="N117" s="1633">
        <v>0</v>
      </c>
      <c r="O117" s="1633">
        <v>0</v>
      </c>
      <c r="P117" s="1632">
        <v>0</v>
      </c>
      <c r="Q117" s="1633">
        <v>0</v>
      </c>
      <c r="R117" s="1630">
        <v>0</v>
      </c>
      <c r="S117" s="1629">
        <v>0</v>
      </c>
      <c r="T117" s="1630">
        <v>0</v>
      </c>
      <c r="U117" s="1630">
        <v>0</v>
      </c>
      <c r="V117" s="1635">
        <v>0</v>
      </c>
      <c r="W117" s="1505" t="e">
        <v>#REF!</v>
      </c>
      <c r="X117" s="1632">
        <v>1</v>
      </c>
      <c r="Y117" s="1632">
        <v>95</v>
      </c>
      <c r="Z117" s="1632">
        <v>39</v>
      </c>
      <c r="AA117" s="1632">
        <v>16</v>
      </c>
      <c r="AB117" s="1632">
        <v>526</v>
      </c>
      <c r="AC117" s="1633">
        <v>230</v>
      </c>
    </row>
    <row r="118" spans="1:29" s="1675" customFormat="1" ht="17.25" customHeight="1">
      <c r="A118" s="1636"/>
      <c r="B118" s="1648" t="s">
        <v>346</v>
      </c>
      <c r="C118" s="1649">
        <v>24948</v>
      </c>
      <c r="D118" s="1639">
        <v>0</v>
      </c>
      <c r="E118" s="1640">
        <v>0</v>
      </c>
      <c r="F118" s="1639">
        <v>0</v>
      </c>
      <c r="G118" s="1639">
        <v>0</v>
      </c>
      <c r="H118" s="1639">
        <v>1</v>
      </c>
      <c r="I118" s="1640">
        <v>0</v>
      </c>
      <c r="J118" s="1639">
        <v>1212</v>
      </c>
      <c r="K118" s="1641">
        <v>47</v>
      </c>
      <c r="L118" s="1642">
        <v>1</v>
      </c>
      <c r="M118" s="1642">
        <v>1393</v>
      </c>
      <c r="N118" s="1643">
        <v>45</v>
      </c>
      <c r="O118" s="1643">
        <v>0</v>
      </c>
      <c r="P118" s="1642">
        <v>0</v>
      </c>
      <c r="Q118" s="1643">
        <v>0</v>
      </c>
      <c r="R118" s="1642">
        <v>22</v>
      </c>
      <c r="S118" s="1652">
        <v>1</v>
      </c>
      <c r="T118" s="1642">
        <v>36224</v>
      </c>
      <c r="U118" s="1642">
        <v>24105</v>
      </c>
      <c r="V118" s="1645">
        <v>96.620971620971616</v>
      </c>
      <c r="W118" s="1510" t="e">
        <v>#REF!</v>
      </c>
      <c r="X118" s="1642">
        <v>5</v>
      </c>
      <c r="Y118" s="1642">
        <v>382</v>
      </c>
      <c r="Z118" s="1642">
        <v>174</v>
      </c>
      <c r="AA118" s="1642">
        <v>17</v>
      </c>
      <c r="AB118" s="1642">
        <v>438</v>
      </c>
      <c r="AC118" s="1643">
        <v>233</v>
      </c>
    </row>
    <row r="119" spans="1:29" ht="17.25" customHeight="1">
      <c r="A119" s="1605" t="s">
        <v>423</v>
      </c>
      <c r="B119" s="1646" t="s">
        <v>424</v>
      </c>
      <c r="C119" s="1505"/>
      <c r="D119" s="1611">
        <v>4</v>
      </c>
      <c r="E119" s="1612"/>
      <c r="F119" s="1609">
        <v>241750</v>
      </c>
      <c r="G119" s="1610">
        <v>237889</v>
      </c>
      <c r="H119" s="1611">
        <v>0</v>
      </c>
      <c r="I119" s="1612"/>
      <c r="J119" s="1609">
        <v>0</v>
      </c>
      <c r="K119" s="1610">
        <v>0</v>
      </c>
      <c r="L119" s="1505">
        <v>1</v>
      </c>
      <c r="M119" s="1473">
        <v>0</v>
      </c>
      <c r="N119" s="1473">
        <v>0</v>
      </c>
      <c r="O119" s="1505">
        <v>0</v>
      </c>
      <c r="P119" s="1473">
        <v>0</v>
      </c>
      <c r="Q119" s="1473">
        <v>0</v>
      </c>
      <c r="R119" s="1479">
        <v>0</v>
      </c>
      <c r="S119" s="1473">
        <v>0</v>
      </c>
      <c r="T119" s="1473">
        <v>0</v>
      </c>
      <c r="U119" s="1473">
        <v>0</v>
      </c>
      <c r="V119" s="1505">
        <v>0</v>
      </c>
      <c r="W119" s="1505"/>
      <c r="X119" s="1610">
        <v>0</v>
      </c>
      <c r="Y119" s="1609">
        <v>0</v>
      </c>
      <c r="Z119" s="1609">
        <v>0</v>
      </c>
      <c r="AA119" s="1609">
        <v>0</v>
      </c>
      <c r="AB119" s="1609">
        <v>0</v>
      </c>
      <c r="AC119" s="1610">
        <v>0</v>
      </c>
    </row>
    <row r="120" spans="1:29" ht="17.25" customHeight="1">
      <c r="A120" s="1605" t="s">
        <v>425</v>
      </c>
      <c r="B120" s="1613"/>
      <c r="C120" s="1614">
        <v>238928</v>
      </c>
      <c r="D120" s="1615">
        <v>0</v>
      </c>
      <c r="E120" s="1616"/>
      <c r="F120" s="1617">
        <v>0</v>
      </c>
      <c r="G120" s="1618">
        <v>0</v>
      </c>
      <c r="H120" s="1615">
        <v>1</v>
      </c>
      <c r="I120" s="1616"/>
      <c r="J120" s="1617">
        <v>200</v>
      </c>
      <c r="K120" s="1617">
        <v>86</v>
      </c>
      <c r="L120" s="1618">
        <v>2</v>
      </c>
      <c r="M120" s="1617">
        <v>329</v>
      </c>
      <c r="N120" s="1617">
        <v>0</v>
      </c>
      <c r="O120" s="1618">
        <v>7</v>
      </c>
      <c r="P120" s="1617">
        <v>8316</v>
      </c>
      <c r="Q120" s="1617">
        <v>0</v>
      </c>
      <c r="R120" s="1497">
        <v>15</v>
      </c>
      <c r="S120" s="1655">
        <v>0</v>
      </c>
      <c r="T120" s="1510">
        <v>242279</v>
      </c>
      <c r="U120" s="1491">
        <v>237975</v>
      </c>
      <c r="V120" s="1620">
        <v>99.601135069979236</v>
      </c>
      <c r="W120" s="1505"/>
      <c r="X120" s="1618">
        <v>5</v>
      </c>
      <c r="Y120" s="1617">
        <v>354</v>
      </c>
      <c r="Z120" s="1617">
        <v>235</v>
      </c>
      <c r="AA120" s="1617">
        <v>1</v>
      </c>
      <c r="AB120" s="1617">
        <v>26</v>
      </c>
      <c r="AC120" s="1618">
        <v>21</v>
      </c>
    </row>
    <row r="121" spans="1:29" ht="17.25" customHeight="1">
      <c r="A121" s="1605"/>
      <c r="B121" s="1606" t="s">
        <v>426</v>
      </c>
      <c r="C121" s="1505"/>
      <c r="D121" s="1607">
        <v>1</v>
      </c>
      <c r="E121" s="1608"/>
      <c r="F121" s="1609">
        <v>66840</v>
      </c>
      <c r="G121" s="1610">
        <v>65923</v>
      </c>
      <c r="H121" s="1611">
        <v>0</v>
      </c>
      <c r="I121" s="1612"/>
      <c r="J121" s="1609">
        <v>0</v>
      </c>
      <c r="K121" s="1610">
        <v>0</v>
      </c>
      <c r="L121" s="1505">
        <v>0</v>
      </c>
      <c r="M121" s="1473">
        <v>0</v>
      </c>
      <c r="N121" s="1473">
        <v>0</v>
      </c>
      <c r="O121" s="1503">
        <v>0</v>
      </c>
      <c r="P121" s="1473">
        <v>0</v>
      </c>
      <c r="Q121" s="1473">
        <v>0</v>
      </c>
      <c r="R121" s="1479">
        <v>0</v>
      </c>
      <c r="S121" s="1473">
        <v>0</v>
      </c>
      <c r="T121" s="1473">
        <v>0</v>
      </c>
      <c r="U121" s="1473">
        <v>0</v>
      </c>
      <c r="V121" s="1505">
        <v>0</v>
      </c>
      <c r="W121" s="1505"/>
      <c r="X121" s="1610">
        <v>0</v>
      </c>
      <c r="Y121" s="1609">
        <v>0</v>
      </c>
      <c r="Z121" s="1609">
        <v>0</v>
      </c>
      <c r="AA121" s="1609">
        <v>0</v>
      </c>
      <c r="AB121" s="1609">
        <v>0</v>
      </c>
      <c r="AC121" s="1610">
        <v>0</v>
      </c>
    </row>
    <row r="122" spans="1:29" ht="17.25" customHeight="1">
      <c r="A122" s="1605"/>
      <c r="B122" s="1613"/>
      <c r="C122" s="1614">
        <v>65973</v>
      </c>
      <c r="D122" s="1615">
        <v>0</v>
      </c>
      <c r="E122" s="1616"/>
      <c r="F122" s="1617">
        <v>0</v>
      </c>
      <c r="G122" s="1618">
        <v>0</v>
      </c>
      <c r="H122" s="1615">
        <v>0</v>
      </c>
      <c r="I122" s="1616"/>
      <c r="J122" s="1617">
        <v>0</v>
      </c>
      <c r="K122" s="1617">
        <v>0</v>
      </c>
      <c r="L122" s="1618">
        <v>0</v>
      </c>
      <c r="M122" s="1617">
        <v>0</v>
      </c>
      <c r="N122" s="1617">
        <v>0</v>
      </c>
      <c r="O122" s="1618">
        <v>0</v>
      </c>
      <c r="P122" s="1617">
        <v>0</v>
      </c>
      <c r="Q122" s="1617">
        <v>0</v>
      </c>
      <c r="R122" s="1497">
        <v>1</v>
      </c>
      <c r="S122" s="1655">
        <v>0</v>
      </c>
      <c r="T122" s="1510">
        <v>66840</v>
      </c>
      <c r="U122" s="1491">
        <v>65923</v>
      </c>
      <c r="V122" s="1620">
        <v>99.924211419823266</v>
      </c>
      <c r="W122" s="1505"/>
      <c r="X122" s="1618">
        <v>0</v>
      </c>
      <c r="Y122" s="1617">
        <v>0</v>
      </c>
      <c r="Z122" s="1617">
        <v>0</v>
      </c>
      <c r="AA122" s="1617">
        <v>0</v>
      </c>
      <c r="AB122" s="1617">
        <v>0</v>
      </c>
      <c r="AC122" s="1618">
        <v>0</v>
      </c>
    </row>
    <row r="123" spans="1:29" ht="17.25" customHeight="1">
      <c r="A123" s="1605"/>
      <c r="B123" s="1606" t="s">
        <v>427</v>
      </c>
      <c r="C123" s="1505"/>
      <c r="D123" s="1607">
        <v>1</v>
      </c>
      <c r="E123" s="1608"/>
      <c r="F123" s="1609">
        <v>96600</v>
      </c>
      <c r="G123" s="1610">
        <v>92501</v>
      </c>
      <c r="H123" s="1611">
        <v>0</v>
      </c>
      <c r="I123" s="1612"/>
      <c r="J123" s="1609">
        <v>0</v>
      </c>
      <c r="K123" s="1610">
        <v>0</v>
      </c>
      <c r="L123" s="1505">
        <v>0</v>
      </c>
      <c r="M123" s="1473">
        <v>0</v>
      </c>
      <c r="N123" s="1473">
        <v>0</v>
      </c>
      <c r="O123" s="1503">
        <v>1</v>
      </c>
      <c r="P123" s="1473">
        <v>926</v>
      </c>
      <c r="Q123" s="1473">
        <v>0</v>
      </c>
      <c r="R123" s="1623">
        <v>0</v>
      </c>
      <c r="S123" s="1624">
        <v>0</v>
      </c>
      <c r="T123" s="1473">
        <v>0</v>
      </c>
      <c r="U123" s="1473">
        <v>0</v>
      </c>
      <c r="V123" s="1505">
        <v>0</v>
      </c>
      <c r="W123" s="1505"/>
      <c r="X123" s="1610">
        <v>1</v>
      </c>
      <c r="Y123" s="1609">
        <v>52</v>
      </c>
      <c r="Z123" s="1609">
        <v>14</v>
      </c>
      <c r="AA123" s="1609">
        <v>0</v>
      </c>
      <c r="AB123" s="1609">
        <v>0</v>
      </c>
      <c r="AC123" s="1610">
        <v>0</v>
      </c>
    </row>
    <row r="124" spans="1:29" ht="17.25" customHeight="1">
      <c r="A124" s="1605"/>
      <c r="B124" s="1613"/>
      <c r="C124" s="1614">
        <v>93684</v>
      </c>
      <c r="D124" s="1615">
        <v>0</v>
      </c>
      <c r="E124" s="1616"/>
      <c r="F124" s="1617">
        <v>0</v>
      </c>
      <c r="G124" s="1618">
        <v>0</v>
      </c>
      <c r="H124" s="1615">
        <v>1</v>
      </c>
      <c r="I124" s="1616"/>
      <c r="J124" s="1617">
        <v>474</v>
      </c>
      <c r="K124" s="1617">
        <v>472</v>
      </c>
      <c r="L124" s="1618">
        <v>3</v>
      </c>
      <c r="M124" s="1617">
        <v>1671</v>
      </c>
      <c r="N124" s="1617">
        <v>0</v>
      </c>
      <c r="O124" s="1618">
        <v>0</v>
      </c>
      <c r="P124" s="1617">
        <v>0</v>
      </c>
      <c r="Q124" s="1617">
        <v>0</v>
      </c>
      <c r="R124" s="1497">
        <v>6</v>
      </c>
      <c r="S124" s="1655">
        <v>0</v>
      </c>
      <c r="T124" s="1510">
        <v>98745</v>
      </c>
      <c r="U124" s="1491">
        <v>92973</v>
      </c>
      <c r="V124" s="1620">
        <v>99.241065710260017</v>
      </c>
      <c r="W124" s="1505"/>
      <c r="X124" s="1618">
        <v>3</v>
      </c>
      <c r="Y124" s="1617">
        <v>218</v>
      </c>
      <c r="Z124" s="1617">
        <v>0</v>
      </c>
      <c r="AA124" s="1617">
        <v>0</v>
      </c>
      <c r="AB124" s="1617">
        <v>0</v>
      </c>
      <c r="AC124" s="1618">
        <v>0</v>
      </c>
    </row>
    <row r="125" spans="1:29" ht="17.25" customHeight="1">
      <c r="A125" s="1674"/>
      <c r="B125" s="1606" t="s">
        <v>428</v>
      </c>
      <c r="C125" s="1505"/>
      <c r="D125" s="1607">
        <v>0</v>
      </c>
      <c r="E125" s="1608"/>
      <c r="F125" s="1609">
        <v>0</v>
      </c>
      <c r="G125" s="1610">
        <v>0</v>
      </c>
      <c r="H125" s="1611">
        <v>1</v>
      </c>
      <c r="I125" s="1612"/>
      <c r="J125" s="1609">
        <v>3300</v>
      </c>
      <c r="K125" s="1610">
        <v>2527</v>
      </c>
      <c r="L125" s="1505">
        <v>0</v>
      </c>
      <c r="M125" s="1473">
        <v>0</v>
      </c>
      <c r="N125" s="1473">
        <v>0</v>
      </c>
      <c r="O125" s="1503">
        <v>0</v>
      </c>
      <c r="P125" s="1473">
        <v>0</v>
      </c>
      <c r="Q125" s="1473">
        <v>0</v>
      </c>
      <c r="R125" s="1479">
        <v>0</v>
      </c>
      <c r="S125" s="1473">
        <v>0</v>
      </c>
      <c r="T125" s="1473">
        <v>0</v>
      </c>
      <c r="U125" s="1473">
        <v>0</v>
      </c>
      <c r="V125" s="1505">
        <v>0</v>
      </c>
      <c r="W125" s="1505"/>
      <c r="X125" s="1610">
        <v>0</v>
      </c>
      <c r="Y125" s="1609">
        <v>0</v>
      </c>
      <c r="Z125" s="1609">
        <v>0</v>
      </c>
      <c r="AA125" s="1609">
        <v>0</v>
      </c>
      <c r="AB125" s="1609">
        <v>0</v>
      </c>
      <c r="AC125" s="1610">
        <v>0</v>
      </c>
    </row>
    <row r="126" spans="1:29" ht="17.25" customHeight="1">
      <c r="A126" s="1674"/>
      <c r="B126" s="1613"/>
      <c r="C126" s="1614">
        <v>2527</v>
      </c>
      <c r="D126" s="1615">
        <v>0</v>
      </c>
      <c r="E126" s="1616"/>
      <c r="F126" s="1617">
        <v>0</v>
      </c>
      <c r="G126" s="1618">
        <v>0</v>
      </c>
      <c r="H126" s="1615">
        <v>0</v>
      </c>
      <c r="I126" s="1616"/>
      <c r="J126" s="1617">
        <v>0</v>
      </c>
      <c r="K126" s="1617">
        <v>0</v>
      </c>
      <c r="L126" s="1618">
        <v>0</v>
      </c>
      <c r="M126" s="1617">
        <v>0</v>
      </c>
      <c r="N126" s="1617">
        <v>0</v>
      </c>
      <c r="O126" s="1618">
        <v>0</v>
      </c>
      <c r="P126" s="1617">
        <v>0</v>
      </c>
      <c r="Q126" s="1617">
        <v>0</v>
      </c>
      <c r="R126" s="1497">
        <v>1</v>
      </c>
      <c r="S126" s="1655">
        <v>0</v>
      </c>
      <c r="T126" s="1510">
        <v>3300</v>
      </c>
      <c r="U126" s="1491">
        <v>2527</v>
      </c>
      <c r="V126" s="1620">
        <v>100</v>
      </c>
      <c r="W126" s="1510"/>
      <c r="X126" s="1618">
        <v>0</v>
      </c>
      <c r="Y126" s="1617">
        <v>0</v>
      </c>
      <c r="Z126" s="1617">
        <v>0</v>
      </c>
      <c r="AA126" s="1617">
        <v>0</v>
      </c>
      <c r="AB126" s="1617">
        <v>0</v>
      </c>
      <c r="AC126" s="1618">
        <v>0</v>
      </c>
    </row>
    <row r="127" spans="1:29" ht="17.25" customHeight="1">
      <c r="A127" s="1605"/>
      <c r="B127" s="1606" t="s">
        <v>429</v>
      </c>
      <c r="C127" s="1505"/>
      <c r="D127" s="1607">
        <v>0</v>
      </c>
      <c r="E127" s="1608"/>
      <c r="F127" s="1609">
        <v>0</v>
      </c>
      <c r="G127" s="1610">
        <v>0</v>
      </c>
      <c r="H127" s="1611">
        <v>1</v>
      </c>
      <c r="I127" s="1612"/>
      <c r="J127" s="1609">
        <v>1750</v>
      </c>
      <c r="K127" s="1610">
        <v>1538</v>
      </c>
      <c r="L127" s="1505">
        <v>0</v>
      </c>
      <c r="M127" s="1473">
        <v>0</v>
      </c>
      <c r="N127" s="1473">
        <v>0</v>
      </c>
      <c r="O127" s="1503">
        <v>0</v>
      </c>
      <c r="P127" s="1473">
        <v>0</v>
      </c>
      <c r="Q127" s="1473">
        <v>0</v>
      </c>
      <c r="R127" s="1479">
        <v>0</v>
      </c>
      <c r="S127" s="1473">
        <v>0</v>
      </c>
      <c r="T127" s="1473">
        <v>0</v>
      </c>
      <c r="U127" s="1473">
        <v>0</v>
      </c>
      <c r="V127" s="1505">
        <v>0</v>
      </c>
      <c r="W127" s="1505"/>
      <c r="X127" s="1610">
        <v>0</v>
      </c>
      <c r="Y127" s="1609">
        <v>0</v>
      </c>
      <c r="Z127" s="1609">
        <v>0</v>
      </c>
      <c r="AA127" s="1609">
        <v>0</v>
      </c>
      <c r="AB127" s="1609">
        <v>0</v>
      </c>
      <c r="AC127" s="1610">
        <v>0</v>
      </c>
    </row>
    <row r="128" spans="1:29" ht="17.25" customHeight="1">
      <c r="A128" s="1605"/>
      <c r="B128" s="1613"/>
      <c r="C128" s="1614">
        <v>1644</v>
      </c>
      <c r="D128" s="1615">
        <v>0</v>
      </c>
      <c r="E128" s="1616"/>
      <c r="F128" s="1617">
        <v>0</v>
      </c>
      <c r="G128" s="1618">
        <v>0</v>
      </c>
      <c r="H128" s="1615">
        <v>0</v>
      </c>
      <c r="I128" s="1616"/>
      <c r="J128" s="1617">
        <v>0</v>
      </c>
      <c r="K128" s="1617">
        <v>0</v>
      </c>
      <c r="L128" s="1618">
        <v>0</v>
      </c>
      <c r="M128" s="1617">
        <v>0</v>
      </c>
      <c r="N128" s="1617">
        <v>0</v>
      </c>
      <c r="O128" s="1618">
        <v>0</v>
      </c>
      <c r="P128" s="1617">
        <v>0</v>
      </c>
      <c r="Q128" s="1617">
        <v>0</v>
      </c>
      <c r="R128" s="1497">
        <v>1</v>
      </c>
      <c r="S128" s="1655">
        <v>0</v>
      </c>
      <c r="T128" s="1510">
        <v>1750</v>
      </c>
      <c r="U128" s="1491">
        <v>1538</v>
      </c>
      <c r="V128" s="1620">
        <v>93.552311435523123</v>
      </c>
      <c r="W128" s="1505"/>
      <c r="X128" s="1618">
        <v>3</v>
      </c>
      <c r="Y128" s="1617">
        <v>127</v>
      </c>
      <c r="Z128" s="1617">
        <v>96</v>
      </c>
      <c r="AA128" s="1617">
        <v>0</v>
      </c>
      <c r="AB128" s="1617">
        <v>0</v>
      </c>
      <c r="AC128" s="1618">
        <v>0</v>
      </c>
    </row>
    <row r="129" spans="1:29" ht="17.25" customHeight="1">
      <c r="A129" s="1605"/>
      <c r="B129" s="1606" t="s">
        <v>430</v>
      </c>
      <c r="C129" s="1505"/>
      <c r="D129" s="1607">
        <v>1</v>
      </c>
      <c r="E129" s="1608"/>
      <c r="F129" s="1609">
        <v>9400</v>
      </c>
      <c r="G129" s="1610">
        <v>8101</v>
      </c>
      <c r="H129" s="1611">
        <v>1</v>
      </c>
      <c r="I129" s="1612"/>
      <c r="J129" s="1609">
        <v>2000</v>
      </c>
      <c r="K129" s="1610">
        <v>80</v>
      </c>
      <c r="L129" s="1505">
        <v>0</v>
      </c>
      <c r="M129" s="1473">
        <v>0</v>
      </c>
      <c r="N129" s="1473">
        <v>0</v>
      </c>
      <c r="O129" s="1503">
        <v>0</v>
      </c>
      <c r="P129" s="1473">
        <v>0</v>
      </c>
      <c r="Q129" s="1473">
        <v>0</v>
      </c>
      <c r="R129" s="1479">
        <v>0</v>
      </c>
      <c r="S129" s="1473">
        <v>0</v>
      </c>
      <c r="T129" s="1473">
        <v>0</v>
      </c>
      <c r="U129" s="1473">
        <v>0</v>
      </c>
      <c r="V129" s="1505">
        <v>0</v>
      </c>
      <c r="W129" s="1505"/>
      <c r="X129" s="1610">
        <v>0</v>
      </c>
      <c r="Y129" s="1609">
        <v>0</v>
      </c>
      <c r="Z129" s="1609">
        <v>0</v>
      </c>
      <c r="AA129" s="1609">
        <v>0</v>
      </c>
      <c r="AB129" s="1609">
        <v>0</v>
      </c>
      <c r="AC129" s="1610">
        <v>0</v>
      </c>
    </row>
    <row r="130" spans="1:29" ht="17.25" customHeight="1">
      <c r="A130" s="1605"/>
      <c r="B130" s="1613"/>
      <c r="C130" s="1614">
        <v>8230</v>
      </c>
      <c r="D130" s="1615">
        <v>0</v>
      </c>
      <c r="E130" s="1616"/>
      <c r="F130" s="1617">
        <v>0</v>
      </c>
      <c r="G130" s="1618">
        <v>0</v>
      </c>
      <c r="H130" s="1615">
        <v>0</v>
      </c>
      <c r="I130" s="1616"/>
      <c r="J130" s="1617">
        <v>0</v>
      </c>
      <c r="K130" s="1617">
        <v>0</v>
      </c>
      <c r="L130" s="1618">
        <v>0</v>
      </c>
      <c r="M130" s="1617">
        <v>0</v>
      </c>
      <c r="N130" s="1617">
        <v>0</v>
      </c>
      <c r="O130" s="1618">
        <v>0</v>
      </c>
      <c r="P130" s="1617">
        <v>0</v>
      </c>
      <c r="Q130" s="1617">
        <v>0</v>
      </c>
      <c r="R130" s="1497">
        <v>2</v>
      </c>
      <c r="S130" s="1655">
        <v>0</v>
      </c>
      <c r="T130" s="1510">
        <v>11400</v>
      </c>
      <c r="U130" s="1491">
        <v>8181</v>
      </c>
      <c r="V130" s="1620">
        <v>99.40461725394897</v>
      </c>
      <c r="W130" s="1505"/>
      <c r="X130" s="1618">
        <v>0</v>
      </c>
      <c r="Y130" s="1617">
        <v>0</v>
      </c>
      <c r="Z130" s="1617">
        <v>0</v>
      </c>
      <c r="AA130" s="1617">
        <v>0</v>
      </c>
      <c r="AB130" s="1617">
        <v>0</v>
      </c>
      <c r="AC130" s="1618">
        <v>0</v>
      </c>
    </row>
    <row r="131" spans="1:29" ht="17.25" customHeight="1">
      <c r="A131" s="1605"/>
      <c r="B131" s="1606" t="s">
        <v>431</v>
      </c>
      <c r="C131" s="1505"/>
      <c r="D131" s="1607">
        <v>0</v>
      </c>
      <c r="E131" s="1608"/>
      <c r="F131" s="1609">
        <v>0</v>
      </c>
      <c r="G131" s="1610">
        <v>0</v>
      </c>
      <c r="H131" s="1611">
        <v>1</v>
      </c>
      <c r="I131" s="1612"/>
      <c r="J131" s="1609">
        <v>4480</v>
      </c>
      <c r="K131" s="1610">
        <v>4243</v>
      </c>
      <c r="L131" s="1505">
        <v>0</v>
      </c>
      <c r="M131" s="1473">
        <v>0</v>
      </c>
      <c r="N131" s="1473">
        <v>0</v>
      </c>
      <c r="O131" s="1503">
        <v>0</v>
      </c>
      <c r="P131" s="1473">
        <v>0</v>
      </c>
      <c r="Q131" s="1473">
        <v>0</v>
      </c>
      <c r="R131" s="1479">
        <v>0</v>
      </c>
      <c r="S131" s="1473">
        <v>0</v>
      </c>
      <c r="T131" s="1473">
        <v>0</v>
      </c>
      <c r="U131" s="1473">
        <v>0</v>
      </c>
      <c r="V131" s="1505">
        <v>0</v>
      </c>
      <c r="W131" s="1505"/>
      <c r="X131" s="1610">
        <v>0</v>
      </c>
      <c r="Y131" s="1609">
        <v>0</v>
      </c>
      <c r="Z131" s="1609">
        <v>0</v>
      </c>
      <c r="AA131" s="1609">
        <v>0</v>
      </c>
      <c r="AB131" s="1609">
        <v>0</v>
      </c>
      <c r="AC131" s="1610">
        <v>0</v>
      </c>
    </row>
    <row r="132" spans="1:29" ht="17.25" customHeight="1">
      <c r="A132" s="1605"/>
      <c r="B132" s="1613"/>
      <c r="C132" s="1614">
        <v>4243</v>
      </c>
      <c r="D132" s="1615">
        <v>0</v>
      </c>
      <c r="E132" s="1616"/>
      <c r="F132" s="1617">
        <v>0</v>
      </c>
      <c r="G132" s="1618">
        <v>0</v>
      </c>
      <c r="H132" s="1615">
        <v>0</v>
      </c>
      <c r="I132" s="1616"/>
      <c r="J132" s="1617">
        <v>0</v>
      </c>
      <c r="K132" s="1617">
        <v>0</v>
      </c>
      <c r="L132" s="1618">
        <v>0</v>
      </c>
      <c r="M132" s="1617">
        <v>0</v>
      </c>
      <c r="N132" s="1617">
        <v>0</v>
      </c>
      <c r="O132" s="1618">
        <v>0</v>
      </c>
      <c r="P132" s="1617">
        <v>0</v>
      </c>
      <c r="Q132" s="1617">
        <v>0</v>
      </c>
      <c r="R132" s="1497">
        <v>1</v>
      </c>
      <c r="S132" s="1655">
        <v>0</v>
      </c>
      <c r="T132" s="1510">
        <v>4480</v>
      </c>
      <c r="U132" s="1491">
        <v>4243</v>
      </c>
      <c r="V132" s="1620">
        <v>100</v>
      </c>
      <c r="W132" s="1505"/>
      <c r="X132" s="1618">
        <v>0</v>
      </c>
      <c r="Y132" s="1617">
        <v>0</v>
      </c>
      <c r="Z132" s="1617">
        <v>0</v>
      </c>
      <c r="AA132" s="1617">
        <v>0</v>
      </c>
      <c r="AB132" s="1617">
        <v>0</v>
      </c>
      <c r="AC132" s="1618">
        <v>0</v>
      </c>
    </row>
    <row r="133" spans="1:29" ht="17.25" customHeight="1">
      <c r="A133" s="1605"/>
      <c r="B133" s="1606" t="s">
        <v>432</v>
      </c>
      <c r="C133" s="1505"/>
      <c r="D133" s="1607">
        <v>0</v>
      </c>
      <c r="E133" s="1608"/>
      <c r="F133" s="1609">
        <v>0</v>
      </c>
      <c r="G133" s="1610">
        <v>0</v>
      </c>
      <c r="H133" s="1611">
        <v>1</v>
      </c>
      <c r="I133" s="1612"/>
      <c r="J133" s="1609">
        <v>4749</v>
      </c>
      <c r="K133" s="1610">
        <v>4081</v>
      </c>
      <c r="L133" s="1505">
        <v>0</v>
      </c>
      <c r="M133" s="1473">
        <v>0</v>
      </c>
      <c r="N133" s="1473">
        <v>0</v>
      </c>
      <c r="O133" s="1503">
        <v>0</v>
      </c>
      <c r="P133" s="1473">
        <v>0</v>
      </c>
      <c r="Q133" s="1473">
        <v>0</v>
      </c>
      <c r="R133" s="1479">
        <v>0</v>
      </c>
      <c r="S133" s="1473">
        <v>0</v>
      </c>
      <c r="T133" s="1473">
        <v>0</v>
      </c>
      <c r="U133" s="1473">
        <v>0</v>
      </c>
      <c r="V133" s="1505">
        <v>0</v>
      </c>
      <c r="W133" s="1505"/>
      <c r="X133" s="1610">
        <v>0</v>
      </c>
      <c r="Y133" s="1609">
        <v>0</v>
      </c>
      <c r="Z133" s="1609">
        <v>0</v>
      </c>
      <c r="AA133" s="1609">
        <v>0</v>
      </c>
      <c r="AB133" s="1609">
        <v>0</v>
      </c>
      <c r="AC133" s="1610">
        <v>0</v>
      </c>
    </row>
    <row r="134" spans="1:29" ht="17.25" customHeight="1">
      <c r="A134" s="1605"/>
      <c r="B134" s="1613"/>
      <c r="C134" s="1614">
        <v>4109</v>
      </c>
      <c r="D134" s="1615">
        <v>0</v>
      </c>
      <c r="E134" s="1616"/>
      <c r="F134" s="1617">
        <v>0</v>
      </c>
      <c r="G134" s="1618">
        <v>0</v>
      </c>
      <c r="H134" s="1615">
        <v>0</v>
      </c>
      <c r="I134" s="1616"/>
      <c r="J134" s="1617">
        <v>0</v>
      </c>
      <c r="K134" s="1617">
        <v>0</v>
      </c>
      <c r="L134" s="1618">
        <v>0</v>
      </c>
      <c r="M134" s="1617">
        <v>0</v>
      </c>
      <c r="N134" s="1617">
        <v>0</v>
      </c>
      <c r="O134" s="1618">
        <v>0</v>
      </c>
      <c r="P134" s="1617">
        <v>0</v>
      </c>
      <c r="Q134" s="1617">
        <v>0</v>
      </c>
      <c r="R134" s="1497">
        <v>1</v>
      </c>
      <c r="S134" s="1655">
        <v>0</v>
      </c>
      <c r="T134" s="1510">
        <v>4749</v>
      </c>
      <c r="U134" s="1491">
        <v>4081</v>
      </c>
      <c r="V134" s="1620">
        <v>99.318568994889262</v>
      </c>
      <c r="W134" s="1505"/>
      <c r="X134" s="1618">
        <v>0</v>
      </c>
      <c r="Y134" s="1617">
        <v>0</v>
      </c>
      <c r="Z134" s="1617">
        <v>0</v>
      </c>
      <c r="AA134" s="1617">
        <v>0</v>
      </c>
      <c r="AB134" s="1617">
        <v>0</v>
      </c>
      <c r="AC134" s="1618">
        <v>0</v>
      </c>
    </row>
    <row r="135" spans="1:29" s="1675" customFormat="1" ht="17.25" customHeight="1">
      <c r="A135" s="1627"/>
      <c r="B135" s="1628"/>
      <c r="C135" s="1629">
        <v>0</v>
      </c>
      <c r="D135" s="1634">
        <v>7</v>
      </c>
      <c r="E135" s="1671">
        <v>0</v>
      </c>
      <c r="F135" s="1634">
        <v>414590</v>
      </c>
      <c r="G135" s="1634">
        <v>404414</v>
      </c>
      <c r="H135" s="1634">
        <v>5</v>
      </c>
      <c r="I135" s="1670">
        <v>0</v>
      </c>
      <c r="J135" s="1634">
        <v>16279</v>
      </c>
      <c r="K135" s="1634">
        <v>12469</v>
      </c>
      <c r="L135" s="1634">
        <v>1</v>
      </c>
      <c r="M135" s="1673">
        <v>0</v>
      </c>
      <c r="N135" s="1662">
        <v>0</v>
      </c>
      <c r="O135" s="1662">
        <v>1</v>
      </c>
      <c r="P135" s="1673">
        <v>926</v>
      </c>
      <c r="Q135" s="1673">
        <v>0</v>
      </c>
      <c r="R135" s="1634">
        <v>0</v>
      </c>
      <c r="S135" s="1629">
        <v>0</v>
      </c>
      <c r="T135" s="1634">
        <v>0</v>
      </c>
      <c r="U135" s="1634">
        <v>0</v>
      </c>
      <c r="V135" s="1634">
        <v>0</v>
      </c>
      <c r="W135" s="1505"/>
      <c r="X135" s="1634">
        <v>1</v>
      </c>
      <c r="Y135" s="1634">
        <v>52</v>
      </c>
      <c r="Z135" s="1634">
        <v>14</v>
      </c>
      <c r="AA135" s="1634">
        <v>0</v>
      </c>
      <c r="AB135" s="1634">
        <v>0</v>
      </c>
      <c r="AC135" s="1672">
        <v>0</v>
      </c>
    </row>
    <row r="136" spans="1:29" s="1675" customFormat="1" ht="17.25" customHeight="1">
      <c r="A136" s="1636"/>
      <c r="B136" s="1648" t="s">
        <v>346</v>
      </c>
      <c r="C136" s="1649">
        <v>419338</v>
      </c>
      <c r="D136" s="1639">
        <v>0</v>
      </c>
      <c r="E136" s="1640">
        <v>0</v>
      </c>
      <c r="F136" s="1639">
        <v>0</v>
      </c>
      <c r="G136" s="1639">
        <v>0</v>
      </c>
      <c r="H136" s="1639">
        <v>2</v>
      </c>
      <c r="I136" s="1668">
        <v>0</v>
      </c>
      <c r="J136" s="1639">
        <v>674</v>
      </c>
      <c r="K136" s="1639">
        <v>558</v>
      </c>
      <c r="L136" s="1639">
        <v>5</v>
      </c>
      <c r="M136" s="1642">
        <v>2000</v>
      </c>
      <c r="N136" s="1643">
        <v>0</v>
      </c>
      <c r="O136" s="1643">
        <v>7</v>
      </c>
      <c r="P136" s="1642">
        <v>8316</v>
      </c>
      <c r="Q136" s="1642">
        <v>0</v>
      </c>
      <c r="R136" s="1642">
        <v>28</v>
      </c>
      <c r="S136" s="1652">
        <v>0</v>
      </c>
      <c r="T136" s="1642">
        <v>433543</v>
      </c>
      <c r="U136" s="1642">
        <v>417441</v>
      </c>
      <c r="V136" s="1645">
        <v>99.547620296753465</v>
      </c>
      <c r="W136" s="1510"/>
      <c r="X136" s="1641">
        <v>11</v>
      </c>
      <c r="Y136" s="1641">
        <v>699</v>
      </c>
      <c r="Z136" s="1641">
        <v>331</v>
      </c>
      <c r="AA136" s="1641">
        <v>1</v>
      </c>
      <c r="AB136" s="1641">
        <v>26</v>
      </c>
      <c r="AC136" s="1641">
        <v>21</v>
      </c>
    </row>
    <row r="137" spans="1:29" ht="17.25" customHeight="1">
      <c r="A137" s="1605" t="s">
        <v>433</v>
      </c>
      <c r="B137" s="1606" t="s">
        <v>434</v>
      </c>
      <c r="C137" s="1505"/>
      <c r="D137" s="1607">
        <v>1</v>
      </c>
      <c r="E137" s="1608"/>
      <c r="F137" s="1609">
        <v>24100</v>
      </c>
      <c r="G137" s="1610">
        <v>23712</v>
      </c>
      <c r="H137" s="1611">
        <v>1</v>
      </c>
      <c r="I137" s="1612"/>
      <c r="J137" s="1609">
        <v>1610</v>
      </c>
      <c r="K137" s="1610">
        <v>1549</v>
      </c>
      <c r="L137" s="1505">
        <v>1</v>
      </c>
      <c r="M137" s="1473">
        <v>0</v>
      </c>
      <c r="N137" s="1473">
        <v>0</v>
      </c>
      <c r="O137" s="1503">
        <v>0</v>
      </c>
      <c r="P137" s="1473">
        <v>0</v>
      </c>
      <c r="Q137" s="1473">
        <v>0</v>
      </c>
      <c r="R137" s="1479">
        <v>0</v>
      </c>
      <c r="S137" s="1473">
        <v>0</v>
      </c>
      <c r="T137" s="1473">
        <v>0</v>
      </c>
      <c r="U137" s="1473">
        <v>0</v>
      </c>
      <c r="V137" s="1505">
        <v>0</v>
      </c>
      <c r="W137" s="1505"/>
      <c r="X137" s="1610">
        <v>0</v>
      </c>
      <c r="Y137" s="1609">
        <v>0</v>
      </c>
      <c r="Z137" s="1609">
        <v>0</v>
      </c>
      <c r="AA137" s="1609">
        <v>0</v>
      </c>
      <c r="AB137" s="1609">
        <v>0</v>
      </c>
      <c r="AC137" s="1610">
        <v>0</v>
      </c>
    </row>
    <row r="138" spans="1:29" ht="17.25" customHeight="1">
      <c r="A138" s="1605" t="s">
        <v>435</v>
      </c>
      <c r="B138" s="1613"/>
      <c r="C138" s="1614">
        <v>25709</v>
      </c>
      <c r="D138" s="1615">
        <v>0</v>
      </c>
      <c r="E138" s="1616"/>
      <c r="F138" s="1617">
        <v>0</v>
      </c>
      <c r="G138" s="1618">
        <v>0</v>
      </c>
      <c r="H138" s="1615">
        <v>3</v>
      </c>
      <c r="I138" s="1616"/>
      <c r="J138" s="1617">
        <v>410</v>
      </c>
      <c r="K138" s="1617">
        <v>228</v>
      </c>
      <c r="L138" s="1618">
        <v>1</v>
      </c>
      <c r="M138" s="1617">
        <v>0</v>
      </c>
      <c r="N138" s="1617">
        <v>0</v>
      </c>
      <c r="O138" s="1618">
        <v>0</v>
      </c>
      <c r="P138" s="1617">
        <v>0</v>
      </c>
      <c r="Q138" s="1617">
        <v>0</v>
      </c>
      <c r="R138" s="1497">
        <v>7</v>
      </c>
      <c r="S138" s="1655">
        <v>0</v>
      </c>
      <c r="T138" s="1510">
        <v>26120</v>
      </c>
      <c r="U138" s="1491">
        <v>25489</v>
      </c>
      <c r="V138" s="1620">
        <v>99.144268544089613</v>
      </c>
      <c r="W138" s="1505"/>
      <c r="X138" s="1618">
        <v>4</v>
      </c>
      <c r="Y138" s="1617">
        <v>250</v>
      </c>
      <c r="Z138" s="1617">
        <v>15</v>
      </c>
      <c r="AA138" s="1617">
        <v>5</v>
      </c>
      <c r="AB138" s="1617">
        <v>174</v>
      </c>
      <c r="AC138" s="1618">
        <v>69</v>
      </c>
    </row>
    <row r="139" spans="1:29" ht="17.25" customHeight="1">
      <c r="A139" s="1605" t="s">
        <v>436</v>
      </c>
      <c r="B139" s="1606" t="s">
        <v>437</v>
      </c>
      <c r="C139" s="1505"/>
      <c r="D139" s="1607">
        <v>1</v>
      </c>
      <c r="E139" s="1608"/>
      <c r="F139" s="1609">
        <v>12000</v>
      </c>
      <c r="G139" s="1610">
        <v>9149</v>
      </c>
      <c r="H139" s="1611">
        <v>1</v>
      </c>
      <c r="I139" s="1612"/>
      <c r="J139" s="1609">
        <v>154</v>
      </c>
      <c r="K139" s="1610">
        <v>72</v>
      </c>
      <c r="L139" s="1505">
        <v>0</v>
      </c>
      <c r="M139" s="1473">
        <v>0</v>
      </c>
      <c r="N139" s="1473">
        <v>0</v>
      </c>
      <c r="O139" s="1503">
        <v>0</v>
      </c>
      <c r="P139" s="1473">
        <v>0</v>
      </c>
      <c r="Q139" s="1473">
        <v>0</v>
      </c>
      <c r="R139" s="1479">
        <v>0</v>
      </c>
      <c r="S139" s="1677">
        <v>0</v>
      </c>
      <c r="T139" s="1473">
        <v>0</v>
      </c>
      <c r="U139" s="1473">
        <v>0</v>
      </c>
      <c r="V139" s="1505">
        <v>0</v>
      </c>
      <c r="W139" s="1505"/>
      <c r="X139" s="1610">
        <v>1</v>
      </c>
      <c r="Y139" s="1609">
        <v>70</v>
      </c>
      <c r="Z139" s="1609">
        <v>3</v>
      </c>
      <c r="AA139" s="1609">
        <v>2</v>
      </c>
      <c r="AB139" s="1609">
        <v>73</v>
      </c>
      <c r="AC139" s="1610">
        <v>0</v>
      </c>
    </row>
    <row r="140" spans="1:29" ht="17.25" customHeight="1">
      <c r="A140" s="1605" t="s">
        <v>438</v>
      </c>
      <c r="B140" s="1613"/>
      <c r="C140" s="1614">
        <v>9276</v>
      </c>
      <c r="D140" s="1615">
        <v>0</v>
      </c>
      <c r="E140" s="1616"/>
      <c r="F140" s="1617">
        <v>0</v>
      </c>
      <c r="G140" s="1618">
        <v>0</v>
      </c>
      <c r="H140" s="1615">
        <v>0</v>
      </c>
      <c r="I140" s="1616"/>
      <c r="J140" s="1617">
        <v>0</v>
      </c>
      <c r="K140" s="1617">
        <v>0</v>
      </c>
      <c r="L140" s="1618">
        <v>0</v>
      </c>
      <c r="M140" s="1617">
        <v>0</v>
      </c>
      <c r="N140" s="1617">
        <v>0</v>
      </c>
      <c r="O140" s="1618">
        <v>0</v>
      </c>
      <c r="P140" s="1617">
        <v>0</v>
      </c>
      <c r="Q140" s="1617">
        <v>0</v>
      </c>
      <c r="R140" s="1497">
        <v>2</v>
      </c>
      <c r="S140" s="1655">
        <v>0</v>
      </c>
      <c r="T140" s="1510">
        <v>12154</v>
      </c>
      <c r="U140" s="1491">
        <v>9221</v>
      </c>
      <c r="V140" s="1620">
        <v>99.407072013799052</v>
      </c>
      <c r="W140" s="1505"/>
      <c r="X140" s="1618">
        <v>0</v>
      </c>
      <c r="Y140" s="1617">
        <v>0</v>
      </c>
      <c r="Z140" s="1617">
        <v>0</v>
      </c>
      <c r="AA140" s="1617">
        <v>0</v>
      </c>
      <c r="AB140" s="1617">
        <v>0</v>
      </c>
      <c r="AC140" s="1618">
        <v>0</v>
      </c>
    </row>
    <row r="141" spans="1:29" ht="17.25" customHeight="1">
      <c r="A141" s="1605" t="s">
        <v>439</v>
      </c>
      <c r="B141" s="1606" t="s">
        <v>440</v>
      </c>
      <c r="C141" s="1505"/>
      <c r="D141" s="1607">
        <v>1</v>
      </c>
      <c r="E141" s="1608"/>
      <c r="F141" s="1609">
        <v>10000</v>
      </c>
      <c r="G141" s="1610">
        <v>9593</v>
      </c>
      <c r="H141" s="1611">
        <v>0</v>
      </c>
      <c r="I141" s="1612"/>
      <c r="J141" s="1609">
        <v>0</v>
      </c>
      <c r="K141" s="1610">
        <v>0</v>
      </c>
      <c r="L141" s="1505">
        <v>0</v>
      </c>
      <c r="M141" s="1473">
        <v>0</v>
      </c>
      <c r="N141" s="1473">
        <v>0</v>
      </c>
      <c r="O141" s="1503">
        <v>0</v>
      </c>
      <c r="P141" s="1473">
        <v>0</v>
      </c>
      <c r="Q141" s="1473">
        <v>0</v>
      </c>
      <c r="R141" s="1479">
        <v>0</v>
      </c>
      <c r="S141" s="1677">
        <v>0</v>
      </c>
      <c r="T141" s="1473">
        <v>0</v>
      </c>
      <c r="U141" s="1473">
        <v>0</v>
      </c>
      <c r="V141" s="1505">
        <v>0</v>
      </c>
      <c r="W141" s="1505"/>
      <c r="X141" s="1610">
        <v>0</v>
      </c>
      <c r="Y141" s="1609">
        <v>0</v>
      </c>
      <c r="Z141" s="1609">
        <v>0</v>
      </c>
      <c r="AA141" s="1609">
        <v>0</v>
      </c>
      <c r="AB141" s="1609">
        <v>0</v>
      </c>
      <c r="AC141" s="1610">
        <v>0</v>
      </c>
    </row>
    <row r="142" spans="1:29" ht="17.25" customHeight="1">
      <c r="A142" s="1605"/>
      <c r="B142" s="1613"/>
      <c r="C142" s="1614">
        <v>9593</v>
      </c>
      <c r="D142" s="1615">
        <v>0</v>
      </c>
      <c r="E142" s="1616"/>
      <c r="F142" s="1617">
        <v>0</v>
      </c>
      <c r="G142" s="1618">
        <v>0</v>
      </c>
      <c r="H142" s="1615">
        <v>0</v>
      </c>
      <c r="I142" s="1616"/>
      <c r="J142" s="1617">
        <v>0</v>
      </c>
      <c r="K142" s="1617">
        <v>0</v>
      </c>
      <c r="L142" s="1618">
        <v>0</v>
      </c>
      <c r="M142" s="1617">
        <v>0</v>
      </c>
      <c r="N142" s="1617">
        <v>0</v>
      </c>
      <c r="O142" s="1618">
        <v>0</v>
      </c>
      <c r="P142" s="1617">
        <v>0</v>
      </c>
      <c r="Q142" s="1617">
        <v>0</v>
      </c>
      <c r="R142" s="1497">
        <v>1</v>
      </c>
      <c r="S142" s="1655">
        <v>0</v>
      </c>
      <c r="T142" s="1510">
        <v>10000</v>
      </c>
      <c r="U142" s="1491">
        <v>9593</v>
      </c>
      <c r="V142" s="1620">
        <v>100</v>
      </c>
      <c r="W142" s="1505"/>
      <c r="X142" s="1618">
        <v>0</v>
      </c>
      <c r="Y142" s="1617">
        <v>0</v>
      </c>
      <c r="Z142" s="1617">
        <v>0</v>
      </c>
      <c r="AA142" s="1617">
        <v>0</v>
      </c>
      <c r="AB142" s="1617">
        <v>0</v>
      </c>
      <c r="AC142" s="1618">
        <v>0</v>
      </c>
    </row>
    <row r="143" spans="1:29" ht="17.25" customHeight="1">
      <c r="A143" s="1605"/>
      <c r="B143" s="1606" t="s">
        <v>441</v>
      </c>
      <c r="C143" s="1505"/>
      <c r="D143" s="1607">
        <v>1</v>
      </c>
      <c r="E143" s="1608"/>
      <c r="F143" s="1609">
        <v>9900</v>
      </c>
      <c r="G143" s="1610">
        <v>8392</v>
      </c>
      <c r="H143" s="1611">
        <v>0</v>
      </c>
      <c r="I143" s="1612"/>
      <c r="J143" s="1609">
        <v>0</v>
      </c>
      <c r="K143" s="1610">
        <v>0</v>
      </c>
      <c r="L143" s="1505">
        <v>0</v>
      </c>
      <c r="M143" s="1473">
        <v>0</v>
      </c>
      <c r="N143" s="1473">
        <v>0</v>
      </c>
      <c r="O143" s="1503">
        <v>0</v>
      </c>
      <c r="P143" s="1473">
        <v>0</v>
      </c>
      <c r="Q143" s="1473">
        <v>0</v>
      </c>
      <c r="R143" s="1479">
        <v>0</v>
      </c>
      <c r="S143" s="1621"/>
      <c r="T143" s="1473">
        <v>0</v>
      </c>
      <c r="U143" s="1473">
        <v>0</v>
      </c>
      <c r="V143" s="1505">
        <v>0</v>
      </c>
      <c r="W143" s="1505"/>
      <c r="X143" s="1610">
        <v>0</v>
      </c>
      <c r="Y143" s="1609">
        <v>0</v>
      </c>
      <c r="Z143" s="1609">
        <v>0</v>
      </c>
      <c r="AA143" s="1609">
        <v>0</v>
      </c>
      <c r="AB143" s="1609">
        <v>0</v>
      </c>
      <c r="AC143" s="1610">
        <v>0</v>
      </c>
    </row>
    <row r="144" spans="1:29" ht="17.25" customHeight="1">
      <c r="A144" s="1605"/>
      <c r="B144" s="1613"/>
      <c r="C144" s="1614">
        <v>8521</v>
      </c>
      <c r="D144" s="1615">
        <v>0</v>
      </c>
      <c r="E144" s="1616"/>
      <c r="F144" s="1617">
        <v>0</v>
      </c>
      <c r="G144" s="1618">
        <v>0</v>
      </c>
      <c r="H144" s="1615">
        <v>0</v>
      </c>
      <c r="I144" s="1616"/>
      <c r="J144" s="1617">
        <v>0</v>
      </c>
      <c r="K144" s="1617">
        <v>0</v>
      </c>
      <c r="L144" s="1618">
        <v>0</v>
      </c>
      <c r="M144" s="1617">
        <v>0</v>
      </c>
      <c r="N144" s="1617">
        <v>0</v>
      </c>
      <c r="O144" s="1618">
        <v>0</v>
      </c>
      <c r="P144" s="1617">
        <v>0</v>
      </c>
      <c r="Q144" s="1617">
        <v>0</v>
      </c>
      <c r="R144" s="1497">
        <v>1</v>
      </c>
      <c r="S144" s="1655">
        <v>0</v>
      </c>
      <c r="T144" s="1510">
        <v>9900</v>
      </c>
      <c r="U144" s="1491">
        <v>8392</v>
      </c>
      <c r="V144" s="1620">
        <v>98.486093181551453</v>
      </c>
      <c r="W144" s="1505"/>
      <c r="X144" s="1618">
        <v>2</v>
      </c>
      <c r="Y144" s="1617">
        <v>100</v>
      </c>
      <c r="Z144" s="1617">
        <v>26</v>
      </c>
      <c r="AA144" s="1617">
        <v>3</v>
      </c>
      <c r="AB144" s="1617">
        <v>88</v>
      </c>
      <c r="AC144" s="1618">
        <v>62</v>
      </c>
    </row>
    <row r="145" spans="1:29" ht="17.25" customHeight="1">
      <c r="A145" s="1605"/>
      <c r="B145" s="1606" t="s">
        <v>442</v>
      </c>
      <c r="C145" s="1505"/>
      <c r="D145" s="1607">
        <v>0</v>
      </c>
      <c r="E145" s="1608"/>
      <c r="F145" s="1609">
        <v>0</v>
      </c>
      <c r="G145" s="1610">
        <v>0</v>
      </c>
      <c r="H145" s="1611">
        <v>1</v>
      </c>
      <c r="I145" s="1612"/>
      <c r="J145" s="1609">
        <v>2540</v>
      </c>
      <c r="K145" s="1610">
        <v>2241</v>
      </c>
      <c r="L145" s="1505">
        <v>1</v>
      </c>
      <c r="M145" s="1473">
        <v>140</v>
      </c>
      <c r="N145" s="1473">
        <v>14</v>
      </c>
      <c r="O145" s="1503">
        <v>0</v>
      </c>
      <c r="P145" s="1473">
        <v>0</v>
      </c>
      <c r="Q145" s="1473">
        <v>0</v>
      </c>
      <c r="R145" s="1479">
        <v>0</v>
      </c>
      <c r="S145" s="1677">
        <v>0</v>
      </c>
      <c r="T145" s="1473">
        <v>0</v>
      </c>
      <c r="U145" s="1473">
        <v>0</v>
      </c>
      <c r="V145" s="1505">
        <v>0</v>
      </c>
      <c r="W145" s="1505"/>
      <c r="X145" s="1610">
        <v>0</v>
      </c>
      <c r="Y145" s="1609">
        <v>0</v>
      </c>
      <c r="Z145" s="1609">
        <v>0</v>
      </c>
      <c r="AA145" s="1609">
        <v>0</v>
      </c>
      <c r="AB145" s="1609">
        <v>0</v>
      </c>
      <c r="AC145" s="1610">
        <v>0</v>
      </c>
    </row>
    <row r="146" spans="1:29" ht="17.25" customHeight="1">
      <c r="A146" s="1605"/>
      <c r="B146" s="1613"/>
      <c r="C146" s="1614">
        <v>2567</v>
      </c>
      <c r="D146" s="1615">
        <v>0</v>
      </c>
      <c r="E146" s="1616"/>
      <c r="F146" s="1617">
        <v>0</v>
      </c>
      <c r="G146" s="1618">
        <v>0</v>
      </c>
      <c r="H146" s="1615">
        <v>1</v>
      </c>
      <c r="I146" s="1616"/>
      <c r="J146" s="1617">
        <v>92</v>
      </c>
      <c r="K146" s="1617">
        <v>25</v>
      </c>
      <c r="L146" s="1618">
        <v>2</v>
      </c>
      <c r="M146" s="1617">
        <v>950</v>
      </c>
      <c r="N146" s="1617">
        <v>47</v>
      </c>
      <c r="O146" s="1618">
        <v>0</v>
      </c>
      <c r="P146" s="1617">
        <v>0</v>
      </c>
      <c r="Q146" s="1617">
        <v>0</v>
      </c>
      <c r="R146" s="1497">
        <v>5</v>
      </c>
      <c r="S146" s="1655">
        <v>0</v>
      </c>
      <c r="T146" s="1510">
        <v>3722</v>
      </c>
      <c r="U146" s="1491">
        <v>2327</v>
      </c>
      <c r="V146" s="1620">
        <v>90.650564861706272</v>
      </c>
      <c r="W146" s="1505"/>
      <c r="X146" s="1618">
        <v>0</v>
      </c>
      <c r="Y146" s="1617">
        <v>0</v>
      </c>
      <c r="Z146" s="1617">
        <v>0</v>
      </c>
      <c r="AA146" s="1617">
        <v>9</v>
      </c>
      <c r="AB146" s="1617">
        <v>297</v>
      </c>
      <c r="AC146" s="1618">
        <v>177</v>
      </c>
    </row>
    <row r="147" spans="1:29" s="1675" customFormat="1" ht="17.25" customHeight="1">
      <c r="A147" s="1627"/>
      <c r="B147" s="1628"/>
      <c r="C147" s="1629">
        <v>0</v>
      </c>
      <c r="D147" s="1634">
        <v>4</v>
      </c>
      <c r="E147" s="1671">
        <v>0</v>
      </c>
      <c r="F147" s="1634">
        <v>56000</v>
      </c>
      <c r="G147" s="1634">
        <v>50846</v>
      </c>
      <c r="H147" s="1634">
        <v>3</v>
      </c>
      <c r="I147" s="1671">
        <v>0</v>
      </c>
      <c r="J147" s="1634">
        <v>4304</v>
      </c>
      <c r="K147" s="1634">
        <v>3862</v>
      </c>
      <c r="L147" s="1673">
        <v>2</v>
      </c>
      <c r="M147" s="1673">
        <v>140</v>
      </c>
      <c r="N147" s="1662">
        <v>14</v>
      </c>
      <c r="O147" s="1662">
        <v>0</v>
      </c>
      <c r="P147" s="1673">
        <v>0</v>
      </c>
      <c r="Q147" s="1662">
        <v>0</v>
      </c>
      <c r="R147" s="1634">
        <v>0</v>
      </c>
      <c r="S147" s="1629">
        <v>0</v>
      </c>
      <c r="T147" s="1634">
        <v>0</v>
      </c>
      <c r="U147" s="1634">
        <v>0</v>
      </c>
      <c r="V147" s="1672">
        <v>0</v>
      </c>
      <c r="W147" s="1505"/>
      <c r="X147" s="1673">
        <v>1</v>
      </c>
      <c r="Y147" s="1673">
        <v>70</v>
      </c>
      <c r="Z147" s="1673">
        <v>3</v>
      </c>
      <c r="AA147" s="1673">
        <v>2</v>
      </c>
      <c r="AB147" s="1673">
        <v>73</v>
      </c>
      <c r="AC147" s="1662">
        <v>0</v>
      </c>
    </row>
    <row r="148" spans="1:29" s="1675" customFormat="1" ht="17.25" customHeight="1">
      <c r="A148" s="1636"/>
      <c r="B148" s="1648" t="s">
        <v>346</v>
      </c>
      <c r="C148" s="1649">
        <v>55666</v>
      </c>
      <c r="D148" s="1639">
        <v>0</v>
      </c>
      <c r="E148" s="1640">
        <v>0</v>
      </c>
      <c r="F148" s="1639">
        <v>0</v>
      </c>
      <c r="G148" s="1639">
        <v>0</v>
      </c>
      <c r="H148" s="1639">
        <v>4</v>
      </c>
      <c r="I148" s="1640">
        <v>0</v>
      </c>
      <c r="J148" s="1639">
        <v>502</v>
      </c>
      <c r="K148" s="1641">
        <v>253</v>
      </c>
      <c r="L148" s="1642">
        <v>3</v>
      </c>
      <c r="M148" s="1642">
        <v>950</v>
      </c>
      <c r="N148" s="1643">
        <v>47</v>
      </c>
      <c r="O148" s="1643">
        <v>0</v>
      </c>
      <c r="P148" s="1642">
        <v>0</v>
      </c>
      <c r="Q148" s="1643">
        <v>0</v>
      </c>
      <c r="R148" s="1642">
        <v>16</v>
      </c>
      <c r="S148" s="1652">
        <v>0</v>
      </c>
      <c r="T148" s="1642">
        <v>61896</v>
      </c>
      <c r="U148" s="1642">
        <v>55022</v>
      </c>
      <c r="V148" s="1645">
        <v>98.84309991736427</v>
      </c>
      <c r="W148" s="1510"/>
      <c r="X148" s="1642">
        <v>6</v>
      </c>
      <c r="Y148" s="1642">
        <v>350</v>
      </c>
      <c r="Z148" s="1642">
        <v>41</v>
      </c>
      <c r="AA148" s="1642">
        <v>17</v>
      </c>
      <c r="AB148" s="1642">
        <v>559</v>
      </c>
      <c r="AC148" s="1643">
        <v>308</v>
      </c>
    </row>
    <row r="149" spans="1:29" ht="17.25" customHeight="1">
      <c r="A149" s="1605" t="s">
        <v>443</v>
      </c>
      <c r="B149" s="1646" t="s">
        <v>444</v>
      </c>
      <c r="C149" s="1505"/>
      <c r="D149" s="1611">
        <v>2</v>
      </c>
      <c r="E149" s="1612"/>
      <c r="F149" s="1609">
        <v>378134</v>
      </c>
      <c r="G149" s="1610">
        <v>363449</v>
      </c>
      <c r="H149" s="1611">
        <v>0</v>
      </c>
      <c r="I149" s="1612"/>
      <c r="J149" s="1609">
        <v>0</v>
      </c>
      <c r="K149" s="1610">
        <v>0</v>
      </c>
      <c r="L149" s="1505">
        <v>1</v>
      </c>
      <c r="M149" s="1473">
        <v>39</v>
      </c>
      <c r="N149" s="1473">
        <v>0</v>
      </c>
      <c r="O149" s="1505">
        <v>0</v>
      </c>
      <c r="P149" s="1473">
        <v>0</v>
      </c>
      <c r="Q149" s="1473">
        <v>0</v>
      </c>
      <c r="R149" s="1479">
        <v>0</v>
      </c>
      <c r="S149" s="1473"/>
      <c r="T149" s="1473">
        <v>0</v>
      </c>
      <c r="U149" s="1473">
        <v>0</v>
      </c>
      <c r="V149" s="1505">
        <v>0</v>
      </c>
      <c r="W149" s="1505"/>
      <c r="X149" s="1610">
        <v>0</v>
      </c>
      <c r="Y149" s="1609">
        <v>0</v>
      </c>
      <c r="Z149" s="1609">
        <v>0</v>
      </c>
      <c r="AA149" s="1609">
        <v>0</v>
      </c>
      <c r="AB149" s="1609">
        <v>0</v>
      </c>
      <c r="AC149" s="1610">
        <v>0</v>
      </c>
    </row>
    <row r="150" spans="1:29" ht="18" customHeight="1">
      <c r="A150" s="1605" t="s">
        <v>445</v>
      </c>
      <c r="B150" s="1613"/>
      <c r="C150" s="1614">
        <v>366033</v>
      </c>
      <c r="D150" s="1615">
        <v>0</v>
      </c>
      <c r="E150" s="1616"/>
      <c r="F150" s="1617">
        <v>0</v>
      </c>
      <c r="G150" s="1618">
        <v>0</v>
      </c>
      <c r="H150" s="1615">
        <v>2</v>
      </c>
      <c r="I150" s="1616"/>
      <c r="J150" s="1617">
        <v>1270</v>
      </c>
      <c r="K150" s="1617">
        <v>604</v>
      </c>
      <c r="L150" s="1618">
        <v>5</v>
      </c>
      <c r="M150" s="1617">
        <v>3155</v>
      </c>
      <c r="N150" s="1617">
        <v>124</v>
      </c>
      <c r="O150" s="1618">
        <v>10</v>
      </c>
      <c r="P150" s="1617">
        <v>61913</v>
      </c>
      <c r="Q150" s="1617">
        <v>0</v>
      </c>
      <c r="R150" s="1497">
        <v>20</v>
      </c>
      <c r="S150" s="1655">
        <v>0</v>
      </c>
      <c r="T150" s="1510">
        <v>382598</v>
      </c>
      <c r="U150" s="1491">
        <v>364177</v>
      </c>
      <c r="V150" s="1620">
        <v>99.492941893217278</v>
      </c>
      <c r="W150" s="1505"/>
      <c r="X150" s="1618">
        <v>20</v>
      </c>
      <c r="Y150" s="1617">
        <v>1031</v>
      </c>
      <c r="Z150" s="1617">
        <v>1011</v>
      </c>
      <c r="AA150" s="1617">
        <v>24</v>
      </c>
      <c r="AB150" s="1617">
        <v>542</v>
      </c>
      <c r="AC150" s="1618">
        <v>539</v>
      </c>
    </row>
    <row r="151" spans="1:29" ht="18" customHeight="1">
      <c r="A151" s="1605"/>
      <c r="B151" s="1606" t="s">
        <v>446</v>
      </c>
      <c r="C151" s="1505"/>
      <c r="D151" s="1607">
        <v>1</v>
      </c>
      <c r="E151" s="1608"/>
      <c r="F151" s="1609">
        <v>51200</v>
      </c>
      <c r="G151" s="1610">
        <v>48293</v>
      </c>
      <c r="H151" s="1611">
        <v>1</v>
      </c>
      <c r="I151" s="1612"/>
      <c r="J151" s="1609">
        <v>1060</v>
      </c>
      <c r="K151" s="1610">
        <v>122</v>
      </c>
      <c r="L151" s="1505">
        <v>1</v>
      </c>
      <c r="M151" s="1473">
        <v>980</v>
      </c>
      <c r="N151" s="1473">
        <v>889</v>
      </c>
      <c r="O151" s="1503">
        <v>0</v>
      </c>
      <c r="P151" s="1473">
        <v>0</v>
      </c>
      <c r="Q151" s="1473">
        <v>0</v>
      </c>
      <c r="R151" s="1479">
        <v>0</v>
      </c>
      <c r="S151" s="1473"/>
      <c r="T151" s="1473">
        <v>0</v>
      </c>
      <c r="U151" s="1473">
        <v>0</v>
      </c>
      <c r="V151" s="1505">
        <v>0</v>
      </c>
      <c r="W151" s="1505"/>
      <c r="X151" s="1610">
        <v>1</v>
      </c>
      <c r="Y151" s="1609">
        <v>48</v>
      </c>
      <c r="Z151" s="1609">
        <v>0</v>
      </c>
      <c r="AA151" s="1609">
        <v>0</v>
      </c>
      <c r="AB151" s="1609">
        <v>0</v>
      </c>
      <c r="AC151" s="1610">
        <v>0</v>
      </c>
    </row>
    <row r="152" spans="1:29" ht="18" customHeight="1">
      <c r="A152" s="1605"/>
      <c r="B152" s="1613"/>
      <c r="C152" s="1614">
        <v>49329</v>
      </c>
      <c r="D152" s="1615">
        <v>0</v>
      </c>
      <c r="E152" s="1616"/>
      <c r="F152" s="1617">
        <v>0</v>
      </c>
      <c r="G152" s="1618">
        <v>0</v>
      </c>
      <c r="H152" s="1615">
        <v>0</v>
      </c>
      <c r="I152" s="1616"/>
      <c r="J152" s="1617">
        <v>0</v>
      </c>
      <c r="K152" s="1617">
        <v>0</v>
      </c>
      <c r="L152" s="1618">
        <v>0</v>
      </c>
      <c r="M152" s="1617">
        <v>0</v>
      </c>
      <c r="N152" s="1617">
        <v>0</v>
      </c>
      <c r="O152" s="1618">
        <v>0</v>
      </c>
      <c r="P152" s="1617">
        <v>0</v>
      </c>
      <c r="Q152" s="1617">
        <v>0</v>
      </c>
      <c r="R152" s="1497">
        <v>3</v>
      </c>
      <c r="S152" s="1655">
        <v>0</v>
      </c>
      <c r="T152" s="1510">
        <v>53240</v>
      </c>
      <c r="U152" s="1491">
        <v>49304</v>
      </c>
      <c r="V152" s="1653">
        <v>99.949319872691518</v>
      </c>
      <c r="W152" s="1505"/>
      <c r="X152" s="1618">
        <v>0</v>
      </c>
      <c r="Y152" s="1617">
        <v>0</v>
      </c>
      <c r="Z152" s="1617">
        <v>0</v>
      </c>
      <c r="AA152" s="1617">
        <v>1</v>
      </c>
      <c r="AB152" s="1617">
        <v>30</v>
      </c>
      <c r="AC152" s="1618">
        <v>0</v>
      </c>
    </row>
    <row r="153" spans="1:29" ht="18" customHeight="1">
      <c r="A153" s="1605"/>
      <c r="B153" s="1606" t="s">
        <v>447</v>
      </c>
      <c r="C153" s="1505"/>
      <c r="D153" s="1607">
        <v>2</v>
      </c>
      <c r="E153" s="1608">
        <v>1</v>
      </c>
      <c r="F153" s="1609">
        <v>62216</v>
      </c>
      <c r="G153" s="1610">
        <v>52634</v>
      </c>
      <c r="H153" s="1611">
        <v>0</v>
      </c>
      <c r="I153" s="1612"/>
      <c r="J153" s="1609">
        <v>0</v>
      </c>
      <c r="K153" s="1610">
        <v>0</v>
      </c>
      <c r="L153" s="1505">
        <v>0</v>
      </c>
      <c r="M153" s="1473">
        <v>0</v>
      </c>
      <c r="N153" s="1473">
        <v>0</v>
      </c>
      <c r="O153" s="1503">
        <v>0</v>
      </c>
      <c r="P153" s="1473">
        <v>0</v>
      </c>
      <c r="Q153" s="1473">
        <v>0</v>
      </c>
      <c r="R153" s="1479">
        <v>0</v>
      </c>
      <c r="S153" s="1473"/>
      <c r="T153" s="1473">
        <v>0</v>
      </c>
      <c r="U153" s="1473">
        <v>0</v>
      </c>
      <c r="V153" s="1505">
        <v>0</v>
      </c>
      <c r="W153" s="1505"/>
      <c r="X153" s="1610">
        <v>0</v>
      </c>
      <c r="Y153" s="1609">
        <v>0</v>
      </c>
      <c r="Z153" s="1609">
        <v>0</v>
      </c>
      <c r="AA153" s="1609">
        <v>0</v>
      </c>
      <c r="AB153" s="1609">
        <v>0</v>
      </c>
      <c r="AC153" s="1610">
        <v>0</v>
      </c>
    </row>
    <row r="154" spans="1:29" ht="18" customHeight="1">
      <c r="A154" s="1605"/>
      <c r="B154" s="1613"/>
      <c r="C154" s="1614">
        <v>58694</v>
      </c>
      <c r="D154" s="1615">
        <v>0</v>
      </c>
      <c r="E154" s="1616"/>
      <c r="F154" s="1617">
        <v>0</v>
      </c>
      <c r="G154" s="1618">
        <v>0</v>
      </c>
      <c r="H154" s="1615">
        <v>1</v>
      </c>
      <c r="I154" s="1616"/>
      <c r="J154" s="1617">
        <v>150</v>
      </c>
      <c r="K154" s="1617">
        <v>0</v>
      </c>
      <c r="L154" s="1618">
        <v>0</v>
      </c>
      <c r="M154" s="1617">
        <v>0</v>
      </c>
      <c r="N154" s="1617">
        <v>0</v>
      </c>
      <c r="O154" s="1618">
        <v>0</v>
      </c>
      <c r="P154" s="1617">
        <v>0</v>
      </c>
      <c r="Q154" s="1617">
        <v>0</v>
      </c>
      <c r="R154" s="1479">
        <v>3</v>
      </c>
      <c r="S154" s="1621">
        <v>1</v>
      </c>
      <c r="T154" s="1505">
        <v>62366</v>
      </c>
      <c r="U154" s="1473">
        <v>52634</v>
      </c>
      <c r="V154" s="1622">
        <v>89.675264933383318</v>
      </c>
      <c r="W154" s="1505"/>
      <c r="X154" s="1618">
        <v>0</v>
      </c>
      <c r="Y154" s="1617">
        <v>0</v>
      </c>
      <c r="Z154" s="1617">
        <v>0</v>
      </c>
      <c r="AA154" s="1617">
        <v>0</v>
      </c>
      <c r="AB154" s="1617">
        <v>0</v>
      </c>
      <c r="AC154" s="1618">
        <v>0</v>
      </c>
    </row>
    <row r="155" spans="1:29" ht="18" customHeight="1">
      <c r="A155" s="1605"/>
      <c r="B155" s="1646" t="s">
        <v>448</v>
      </c>
      <c r="C155" s="1505"/>
      <c r="D155" s="1607">
        <v>1</v>
      </c>
      <c r="E155" s="1608">
        <v>1</v>
      </c>
      <c r="F155" s="1609">
        <v>15391</v>
      </c>
      <c r="G155" s="1610">
        <v>13511</v>
      </c>
      <c r="H155" s="1611">
        <v>0</v>
      </c>
      <c r="I155" s="1612"/>
      <c r="J155" s="1609">
        <v>0</v>
      </c>
      <c r="K155" s="1610">
        <v>0</v>
      </c>
      <c r="L155" s="1505">
        <v>0</v>
      </c>
      <c r="M155" s="1473">
        <v>0</v>
      </c>
      <c r="N155" s="1473">
        <v>0</v>
      </c>
      <c r="O155" s="1503">
        <v>0</v>
      </c>
      <c r="P155" s="1473">
        <v>0</v>
      </c>
      <c r="Q155" s="1473">
        <v>0</v>
      </c>
      <c r="R155" s="1623">
        <v>0</v>
      </c>
      <c r="S155" s="1624"/>
      <c r="T155" s="1624">
        <v>0</v>
      </c>
      <c r="U155" s="1624">
        <v>0</v>
      </c>
      <c r="V155" s="1503">
        <v>0</v>
      </c>
      <c r="W155" s="1505"/>
      <c r="X155" s="1610">
        <v>0</v>
      </c>
      <c r="Y155" s="1609">
        <v>0</v>
      </c>
      <c r="Z155" s="1609">
        <v>0</v>
      </c>
      <c r="AA155" s="1609">
        <v>0</v>
      </c>
      <c r="AB155" s="1609">
        <v>0</v>
      </c>
      <c r="AC155" s="1610">
        <v>0</v>
      </c>
    </row>
    <row r="156" spans="1:29" ht="18" customHeight="1">
      <c r="A156" s="1605"/>
      <c r="B156" s="1613"/>
      <c r="C156" s="1614">
        <v>13908</v>
      </c>
      <c r="D156" s="1615">
        <v>0</v>
      </c>
      <c r="E156" s="1616"/>
      <c r="F156" s="1617">
        <v>0</v>
      </c>
      <c r="G156" s="1618">
        <v>0</v>
      </c>
      <c r="H156" s="1615">
        <v>1</v>
      </c>
      <c r="I156" s="1616"/>
      <c r="J156" s="1617">
        <v>200</v>
      </c>
      <c r="K156" s="1617">
        <v>94</v>
      </c>
      <c r="L156" s="1618">
        <v>0</v>
      </c>
      <c r="M156" s="1617">
        <v>0</v>
      </c>
      <c r="N156" s="1617">
        <v>0</v>
      </c>
      <c r="O156" s="1618">
        <v>0</v>
      </c>
      <c r="P156" s="1617">
        <v>0</v>
      </c>
      <c r="Q156" s="1617">
        <v>0</v>
      </c>
      <c r="R156" s="1497">
        <v>2</v>
      </c>
      <c r="S156" s="1655">
        <v>1</v>
      </c>
      <c r="T156" s="1510">
        <v>15591</v>
      </c>
      <c r="U156" s="1491">
        <v>13605</v>
      </c>
      <c r="V156" s="1620">
        <v>97.821397756686807</v>
      </c>
      <c r="W156" s="1505"/>
      <c r="X156" s="1618">
        <v>0</v>
      </c>
      <c r="Y156" s="1617">
        <v>0</v>
      </c>
      <c r="Z156" s="1617">
        <v>0</v>
      </c>
      <c r="AA156" s="1617">
        <v>0</v>
      </c>
      <c r="AB156" s="1617">
        <v>0</v>
      </c>
      <c r="AC156" s="1618">
        <v>0</v>
      </c>
    </row>
    <row r="157" spans="1:29" ht="18" customHeight="1">
      <c r="A157" s="1605"/>
      <c r="B157" s="1606" t="s">
        <v>449</v>
      </c>
      <c r="C157" s="1505"/>
      <c r="D157" s="1607">
        <v>1</v>
      </c>
      <c r="E157" s="1608"/>
      <c r="F157" s="1609">
        <v>14700</v>
      </c>
      <c r="G157" s="1610">
        <v>10487</v>
      </c>
      <c r="H157" s="1611">
        <v>0</v>
      </c>
      <c r="I157" s="1612"/>
      <c r="J157" s="1609">
        <v>0</v>
      </c>
      <c r="K157" s="1610">
        <v>0</v>
      </c>
      <c r="L157" s="1505">
        <v>0</v>
      </c>
      <c r="M157" s="1473">
        <v>0</v>
      </c>
      <c r="N157" s="1473">
        <v>0</v>
      </c>
      <c r="O157" s="1503">
        <v>0</v>
      </c>
      <c r="P157" s="1473">
        <v>0</v>
      </c>
      <c r="Q157" s="1473">
        <v>0</v>
      </c>
      <c r="R157" s="1479">
        <v>0</v>
      </c>
      <c r="S157" s="1473"/>
      <c r="T157" s="1473">
        <v>0</v>
      </c>
      <c r="U157" s="1473">
        <v>0</v>
      </c>
      <c r="V157" s="1505">
        <v>0</v>
      </c>
      <c r="W157" s="1505"/>
      <c r="X157" s="1610">
        <v>0</v>
      </c>
      <c r="Y157" s="1609">
        <v>0</v>
      </c>
      <c r="Z157" s="1609">
        <v>0</v>
      </c>
      <c r="AA157" s="1609">
        <v>0</v>
      </c>
      <c r="AB157" s="1609">
        <v>0</v>
      </c>
      <c r="AC157" s="1610">
        <v>0</v>
      </c>
    </row>
    <row r="158" spans="1:29" ht="18" customHeight="1">
      <c r="A158" s="1605"/>
      <c r="B158" s="1613"/>
      <c r="C158" s="1614">
        <v>10490</v>
      </c>
      <c r="D158" s="1615">
        <v>0</v>
      </c>
      <c r="E158" s="1616"/>
      <c r="F158" s="1617">
        <v>0</v>
      </c>
      <c r="G158" s="1618">
        <v>0</v>
      </c>
      <c r="H158" s="1615">
        <v>0</v>
      </c>
      <c r="I158" s="1616"/>
      <c r="J158" s="1617">
        <v>0</v>
      </c>
      <c r="K158" s="1617">
        <v>0</v>
      </c>
      <c r="L158" s="1618">
        <v>0</v>
      </c>
      <c r="M158" s="1617">
        <v>0</v>
      </c>
      <c r="N158" s="1617">
        <v>0</v>
      </c>
      <c r="O158" s="1618">
        <v>0</v>
      </c>
      <c r="P158" s="1617">
        <v>0</v>
      </c>
      <c r="Q158" s="1617">
        <v>0</v>
      </c>
      <c r="R158" s="1497">
        <v>1</v>
      </c>
      <c r="S158" s="1655">
        <v>0</v>
      </c>
      <c r="T158" s="1510">
        <v>14700</v>
      </c>
      <c r="U158" s="1491">
        <v>10487</v>
      </c>
      <c r="V158" s="1653">
        <v>99.97140133460438</v>
      </c>
      <c r="W158" s="1510"/>
      <c r="X158" s="1618">
        <v>0</v>
      </c>
      <c r="Y158" s="1617">
        <v>0</v>
      </c>
      <c r="Z158" s="1617">
        <v>0</v>
      </c>
      <c r="AA158" s="1617">
        <v>0</v>
      </c>
      <c r="AB158" s="1617">
        <v>0</v>
      </c>
      <c r="AC158" s="1618">
        <v>0</v>
      </c>
    </row>
    <row r="159" spans="1:29" ht="17.25" customHeight="1">
      <c r="A159" s="1605"/>
      <c r="B159" s="1606" t="s">
        <v>450</v>
      </c>
      <c r="C159" s="1505"/>
      <c r="D159" s="1607">
        <v>1</v>
      </c>
      <c r="E159" s="1608"/>
      <c r="F159" s="1609">
        <v>7340</v>
      </c>
      <c r="G159" s="1610">
        <v>6463</v>
      </c>
      <c r="H159" s="1611">
        <v>0</v>
      </c>
      <c r="I159" s="1612"/>
      <c r="J159" s="1609">
        <v>0</v>
      </c>
      <c r="K159" s="1610">
        <v>0</v>
      </c>
      <c r="L159" s="1505">
        <v>0</v>
      </c>
      <c r="M159" s="1473">
        <v>0</v>
      </c>
      <c r="N159" s="1473">
        <v>0</v>
      </c>
      <c r="O159" s="1503">
        <v>0</v>
      </c>
      <c r="P159" s="1473">
        <v>0</v>
      </c>
      <c r="Q159" s="1473">
        <v>0</v>
      </c>
      <c r="R159" s="1479">
        <v>0</v>
      </c>
      <c r="S159" s="1473"/>
      <c r="T159" s="1473">
        <v>0</v>
      </c>
      <c r="U159" s="1473">
        <v>0</v>
      </c>
      <c r="V159" s="1505">
        <v>0</v>
      </c>
      <c r="W159" s="1505"/>
      <c r="X159" s="1610">
        <v>0</v>
      </c>
      <c r="Y159" s="1609">
        <v>0</v>
      </c>
      <c r="Z159" s="1609">
        <v>0</v>
      </c>
      <c r="AA159" s="1609">
        <v>0</v>
      </c>
      <c r="AB159" s="1609">
        <v>0</v>
      </c>
      <c r="AC159" s="1610">
        <v>0</v>
      </c>
    </row>
    <row r="160" spans="1:29" ht="17.25" customHeight="1">
      <c r="A160" s="1605"/>
      <c r="B160" s="1613"/>
      <c r="C160" s="1614">
        <v>6479</v>
      </c>
      <c r="D160" s="1615">
        <v>0</v>
      </c>
      <c r="E160" s="1616"/>
      <c r="F160" s="1617">
        <v>0</v>
      </c>
      <c r="G160" s="1618">
        <v>0</v>
      </c>
      <c r="H160" s="1615">
        <v>0</v>
      </c>
      <c r="I160" s="1616"/>
      <c r="J160" s="1617">
        <v>0</v>
      </c>
      <c r="K160" s="1617">
        <v>0</v>
      </c>
      <c r="L160" s="1618">
        <v>0</v>
      </c>
      <c r="M160" s="1617">
        <v>0</v>
      </c>
      <c r="N160" s="1617">
        <v>0</v>
      </c>
      <c r="O160" s="1618">
        <v>0</v>
      </c>
      <c r="P160" s="1617">
        <v>0</v>
      </c>
      <c r="Q160" s="1617">
        <v>0</v>
      </c>
      <c r="R160" s="1497">
        <v>1</v>
      </c>
      <c r="S160" s="1655">
        <v>0</v>
      </c>
      <c r="T160" s="1510">
        <v>7340</v>
      </c>
      <c r="U160" s="1491">
        <v>6463</v>
      </c>
      <c r="V160" s="1620">
        <v>99.753048309924381</v>
      </c>
      <c r="W160" s="1505"/>
      <c r="X160" s="1618">
        <v>0</v>
      </c>
      <c r="Y160" s="1617">
        <v>0</v>
      </c>
      <c r="Z160" s="1617">
        <v>0</v>
      </c>
      <c r="AA160" s="1617">
        <v>0</v>
      </c>
      <c r="AB160" s="1617">
        <v>0</v>
      </c>
      <c r="AC160" s="1618">
        <v>0</v>
      </c>
    </row>
    <row r="161" spans="1:30" ht="17.25" customHeight="1">
      <c r="A161" s="1605"/>
      <c r="B161" s="1606" t="s">
        <v>451</v>
      </c>
      <c r="C161" s="1505"/>
      <c r="D161" s="1607">
        <v>1</v>
      </c>
      <c r="E161" s="1608"/>
      <c r="F161" s="1609">
        <v>8400</v>
      </c>
      <c r="G161" s="1610">
        <v>7309</v>
      </c>
      <c r="H161" s="1611">
        <v>0</v>
      </c>
      <c r="I161" s="1612"/>
      <c r="J161" s="1609">
        <v>0</v>
      </c>
      <c r="K161" s="1610">
        <v>0</v>
      </c>
      <c r="L161" s="1505">
        <v>0</v>
      </c>
      <c r="M161" s="1473">
        <v>0</v>
      </c>
      <c r="N161" s="1473">
        <v>0</v>
      </c>
      <c r="O161" s="1503">
        <v>0</v>
      </c>
      <c r="P161" s="1473">
        <v>0</v>
      </c>
      <c r="Q161" s="1473">
        <v>0</v>
      </c>
      <c r="R161" s="1479">
        <v>0</v>
      </c>
      <c r="S161" s="1473"/>
      <c r="T161" s="1473">
        <v>0</v>
      </c>
      <c r="U161" s="1473">
        <v>0</v>
      </c>
      <c r="V161" s="1505">
        <v>0</v>
      </c>
      <c r="W161" s="1505"/>
      <c r="X161" s="1610">
        <v>0</v>
      </c>
      <c r="Y161" s="1609">
        <v>0</v>
      </c>
      <c r="Z161" s="1609">
        <v>0</v>
      </c>
      <c r="AA161" s="1609">
        <v>0</v>
      </c>
      <c r="AB161" s="1609">
        <v>0</v>
      </c>
      <c r="AC161" s="1610">
        <v>0</v>
      </c>
    </row>
    <row r="162" spans="1:30" ht="17.25" customHeight="1">
      <c r="A162" s="1605"/>
      <c r="B162" s="1613"/>
      <c r="C162" s="1614">
        <v>7500</v>
      </c>
      <c r="D162" s="1615">
        <v>0</v>
      </c>
      <c r="E162" s="1616"/>
      <c r="F162" s="1617">
        <v>0</v>
      </c>
      <c r="G162" s="1618">
        <v>0</v>
      </c>
      <c r="H162" s="1615">
        <v>2</v>
      </c>
      <c r="I162" s="1616"/>
      <c r="J162" s="1617">
        <v>2598</v>
      </c>
      <c r="K162" s="1617">
        <v>92</v>
      </c>
      <c r="L162" s="1618">
        <v>0</v>
      </c>
      <c r="M162" s="1617">
        <v>0</v>
      </c>
      <c r="N162" s="1617">
        <v>0</v>
      </c>
      <c r="O162" s="1618">
        <v>0</v>
      </c>
      <c r="P162" s="1617">
        <v>0</v>
      </c>
      <c r="Q162" s="1617">
        <v>0</v>
      </c>
      <c r="R162" s="1497">
        <v>3</v>
      </c>
      <c r="S162" s="1655">
        <v>0</v>
      </c>
      <c r="T162" s="1510">
        <v>10998</v>
      </c>
      <c r="U162" s="1491">
        <v>7401</v>
      </c>
      <c r="V162" s="1620">
        <v>98.68</v>
      </c>
      <c r="W162" s="1505"/>
      <c r="X162" s="1618">
        <v>2</v>
      </c>
      <c r="Y162" s="1617">
        <v>89</v>
      </c>
      <c r="Z162" s="1617">
        <v>69</v>
      </c>
      <c r="AA162" s="1617">
        <v>1</v>
      </c>
      <c r="AB162" s="1617">
        <v>49</v>
      </c>
      <c r="AC162" s="1618">
        <v>5</v>
      </c>
    </row>
    <row r="163" spans="1:30" ht="17.25" customHeight="1">
      <c r="A163" s="1605"/>
      <c r="B163" s="1606" t="s">
        <v>452</v>
      </c>
      <c r="C163" s="1505"/>
      <c r="D163" s="1607">
        <v>2</v>
      </c>
      <c r="E163" s="1608"/>
      <c r="F163" s="1609">
        <v>13460</v>
      </c>
      <c r="G163" s="1610">
        <v>10051</v>
      </c>
      <c r="H163" s="1611">
        <v>0</v>
      </c>
      <c r="I163" s="1612"/>
      <c r="J163" s="1609">
        <v>0</v>
      </c>
      <c r="K163" s="1610">
        <v>0</v>
      </c>
      <c r="L163" s="1505">
        <v>0</v>
      </c>
      <c r="M163" s="1473">
        <v>0</v>
      </c>
      <c r="N163" s="1473">
        <v>0</v>
      </c>
      <c r="O163" s="1503">
        <v>0</v>
      </c>
      <c r="P163" s="1473">
        <v>0</v>
      </c>
      <c r="Q163" s="1473">
        <v>0</v>
      </c>
      <c r="R163" s="1479">
        <v>0</v>
      </c>
      <c r="S163" s="1473"/>
      <c r="T163" s="1473">
        <v>0</v>
      </c>
      <c r="U163" s="1473">
        <v>0</v>
      </c>
      <c r="V163" s="1505">
        <v>0</v>
      </c>
      <c r="W163" s="1505"/>
      <c r="X163" s="1610">
        <v>0</v>
      </c>
      <c r="Y163" s="1609">
        <v>0</v>
      </c>
      <c r="Z163" s="1609">
        <v>0</v>
      </c>
      <c r="AA163" s="1609">
        <v>0</v>
      </c>
      <c r="AB163" s="1609">
        <v>0</v>
      </c>
      <c r="AC163" s="1610">
        <v>0</v>
      </c>
    </row>
    <row r="164" spans="1:30" ht="17.25" customHeight="1">
      <c r="A164" s="1605"/>
      <c r="B164" s="1613"/>
      <c r="C164" s="1614">
        <v>10094</v>
      </c>
      <c r="D164" s="1615">
        <v>0</v>
      </c>
      <c r="E164" s="1616"/>
      <c r="F164" s="1617">
        <v>0</v>
      </c>
      <c r="G164" s="1618">
        <v>0</v>
      </c>
      <c r="H164" s="1615">
        <v>0</v>
      </c>
      <c r="I164" s="1616"/>
      <c r="J164" s="1617">
        <v>0</v>
      </c>
      <c r="K164" s="1617">
        <v>0</v>
      </c>
      <c r="L164" s="1618">
        <v>0</v>
      </c>
      <c r="M164" s="1617">
        <v>0</v>
      </c>
      <c r="N164" s="1617">
        <v>0</v>
      </c>
      <c r="O164" s="1618">
        <v>0</v>
      </c>
      <c r="P164" s="1617">
        <v>0</v>
      </c>
      <c r="Q164" s="1617">
        <v>0</v>
      </c>
      <c r="R164" s="1497">
        <v>2</v>
      </c>
      <c r="S164" s="1655">
        <v>0</v>
      </c>
      <c r="T164" s="1510">
        <v>13460</v>
      </c>
      <c r="U164" s="1491">
        <v>10051</v>
      </c>
      <c r="V164" s="1620">
        <v>99.574004359025153</v>
      </c>
      <c r="W164" s="1505"/>
      <c r="X164" s="1618">
        <v>1</v>
      </c>
      <c r="Y164" s="1617">
        <v>83</v>
      </c>
      <c r="Z164" s="1617">
        <v>0</v>
      </c>
      <c r="AA164" s="1617">
        <v>1</v>
      </c>
      <c r="AB164" s="1617">
        <v>39</v>
      </c>
      <c r="AC164" s="1618">
        <v>0</v>
      </c>
      <c r="AD164" s="1678"/>
    </row>
    <row r="165" spans="1:30" ht="18" customHeight="1">
      <c r="A165" s="1626"/>
      <c r="B165" s="1606" t="s">
        <v>453</v>
      </c>
      <c r="C165" s="1505"/>
      <c r="D165" s="1607">
        <v>0</v>
      </c>
      <c r="E165" s="1608"/>
      <c r="F165" s="1609">
        <v>0</v>
      </c>
      <c r="G165" s="1610">
        <v>0</v>
      </c>
      <c r="H165" s="1611">
        <v>1</v>
      </c>
      <c r="I165" s="1612"/>
      <c r="J165" s="1609">
        <v>4120</v>
      </c>
      <c r="K165" s="1610">
        <v>2239</v>
      </c>
      <c r="L165" s="1505">
        <v>0</v>
      </c>
      <c r="M165" s="1473">
        <v>0</v>
      </c>
      <c r="N165" s="1473">
        <v>0</v>
      </c>
      <c r="O165" s="1503">
        <v>0</v>
      </c>
      <c r="P165" s="1473">
        <v>0</v>
      </c>
      <c r="Q165" s="1473">
        <v>0</v>
      </c>
      <c r="R165" s="1479">
        <v>0</v>
      </c>
      <c r="S165" s="1473"/>
      <c r="T165" s="1473">
        <v>0</v>
      </c>
      <c r="U165" s="1473">
        <v>0</v>
      </c>
      <c r="V165" s="1505">
        <v>0</v>
      </c>
      <c r="W165" s="1505"/>
      <c r="X165" s="1610">
        <v>0</v>
      </c>
      <c r="Y165" s="1609">
        <v>0</v>
      </c>
      <c r="Z165" s="1609">
        <v>0</v>
      </c>
      <c r="AA165" s="1609">
        <v>0</v>
      </c>
      <c r="AB165" s="1609">
        <v>0</v>
      </c>
      <c r="AC165" s="1610">
        <v>0</v>
      </c>
      <c r="AD165" s="1678"/>
    </row>
    <row r="166" spans="1:30" ht="18" customHeight="1">
      <c r="A166" s="1626"/>
      <c r="B166" s="1613"/>
      <c r="C166" s="1614">
        <v>2269</v>
      </c>
      <c r="D166" s="1615">
        <v>0</v>
      </c>
      <c r="E166" s="1616"/>
      <c r="F166" s="1617">
        <v>0</v>
      </c>
      <c r="G166" s="1618">
        <v>0</v>
      </c>
      <c r="H166" s="1615">
        <v>0</v>
      </c>
      <c r="I166" s="1616"/>
      <c r="J166" s="1617">
        <v>0</v>
      </c>
      <c r="K166" s="1617">
        <v>0</v>
      </c>
      <c r="L166" s="1618">
        <v>0</v>
      </c>
      <c r="M166" s="1617">
        <v>0</v>
      </c>
      <c r="N166" s="1617">
        <v>0</v>
      </c>
      <c r="O166" s="1618">
        <v>0</v>
      </c>
      <c r="P166" s="1617">
        <v>0</v>
      </c>
      <c r="Q166" s="1617">
        <v>0</v>
      </c>
      <c r="R166" s="1497">
        <v>1</v>
      </c>
      <c r="S166" s="1655">
        <v>0</v>
      </c>
      <c r="T166" s="1510">
        <v>4120</v>
      </c>
      <c r="U166" s="1491">
        <v>2239</v>
      </c>
      <c r="V166" s="1620">
        <v>98.677831643895985</v>
      </c>
      <c r="W166" s="1510"/>
      <c r="X166" s="1618">
        <v>0</v>
      </c>
      <c r="Y166" s="1617">
        <v>0</v>
      </c>
      <c r="Z166" s="1617">
        <v>0</v>
      </c>
      <c r="AA166" s="1617">
        <v>0</v>
      </c>
      <c r="AB166" s="1617">
        <v>0</v>
      </c>
      <c r="AC166" s="1618">
        <v>0</v>
      </c>
      <c r="AD166" s="1678"/>
    </row>
    <row r="167" spans="1:30" s="1675" customFormat="1" ht="17.25" customHeight="1">
      <c r="A167" s="1627"/>
      <c r="B167" s="1628"/>
      <c r="C167" s="1629">
        <v>0</v>
      </c>
      <c r="D167" s="1634">
        <v>11</v>
      </c>
      <c r="E167" s="1647">
        <v>2</v>
      </c>
      <c r="F167" s="1629">
        <v>550841</v>
      </c>
      <c r="G167" s="1629">
        <v>512197</v>
      </c>
      <c r="H167" s="1634">
        <v>2</v>
      </c>
      <c r="I167" s="1670">
        <v>0</v>
      </c>
      <c r="J167" s="1629">
        <v>5180</v>
      </c>
      <c r="K167" s="1629">
        <v>2361</v>
      </c>
      <c r="L167" s="1629">
        <v>2</v>
      </c>
      <c r="M167" s="1629">
        <v>1019</v>
      </c>
      <c r="N167" s="1635">
        <v>889</v>
      </c>
      <c r="O167" s="1635">
        <v>0</v>
      </c>
      <c r="P167" s="1629">
        <v>0</v>
      </c>
      <c r="Q167" s="1629">
        <v>0</v>
      </c>
      <c r="R167" s="1634">
        <v>0</v>
      </c>
      <c r="S167" s="1670">
        <v>0</v>
      </c>
      <c r="T167" s="1629">
        <v>0</v>
      </c>
      <c r="U167" s="1629">
        <v>0</v>
      </c>
      <c r="V167" s="1629">
        <v>0</v>
      </c>
      <c r="W167" s="1505" t="e">
        <v>#REF!</v>
      </c>
      <c r="X167" s="1629">
        <v>1</v>
      </c>
      <c r="Y167" s="1629">
        <v>48</v>
      </c>
      <c r="Z167" s="1629">
        <v>0</v>
      </c>
      <c r="AA167" s="1629">
        <v>0</v>
      </c>
      <c r="AB167" s="1635">
        <v>0</v>
      </c>
      <c r="AC167" s="1629">
        <v>0</v>
      </c>
      <c r="AD167" s="1679"/>
    </row>
    <row r="168" spans="1:30" s="1675" customFormat="1" ht="17.25" customHeight="1">
      <c r="A168" s="1636"/>
      <c r="B168" s="1648" t="s">
        <v>346</v>
      </c>
      <c r="C168" s="1649">
        <v>524796</v>
      </c>
      <c r="D168" s="1639">
        <v>0</v>
      </c>
      <c r="E168" s="1668">
        <v>0</v>
      </c>
      <c r="F168" s="1641">
        <v>0</v>
      </c>
      <c r="G168" s="1668">
        <v>0</v>
      </c>
      <c r="H168" s="1639">
        <v>6</v>
      </c>
      <c r="I168" s="1668">
        <v>0</v>
      </c>
      <c r="J168" s="1668">
        <v>4218</v>
      </c>
      <c r="K168" s="1668">
        <v>790</v>
      </c>
      <c r="L168" s="1668">
        <v>5</v>
      </c>
      <c r="M168" s="1668">
        <v>3155</v>
      </c>
      <c r="N168" s="1641">
        <v>124</v>
      </c>
      <c r="O168" s="1641">
        <v>10</v>
      </c>
      <c r="P168" s="1668">
        <v>61913</v>
      </c>
      <c r="Q168" s="1668">
        <v>0</v>
      </c>
      <c r="R168" s="1642">
        <v>36</v>
      </c>
      <c r="S168" s="1652">
        <v>2</v>
      </c>
      <c r="T168" s="1643">
        <v>564413</v>
      </c>
      <c r="U168" s="1649">
        <v>516361</v>
      </c>
      <c r="V168" s="1645">
        <v>98.392708785890136</v>
      </c>
      <c r="W168" s="1510" t="e">
        <v>#REF!</v>
      </c>
      <c r="X168" s="1668">
        <v>23</v>
      </c>
      <c r="Y168" s="1668">
        <v>1203</v>
      </c>
      <c r="Z168" s="1668">
        <v>1080</v>
      </c>
      <c r="AA168" s="1668">
        <v>27</v>
      </c>
      <c r="AB168" s="1641">
        <v>660</v>
      </c>
      <c r="AC168" s="1668">
        <v>544</v>
      </c>
      <c r="AD168" s="1679"/>
    </row>
    <row r="169" spans="1:30" ht="18" customHeight="1">
      <c r="A169" s="1605" t="s">
        <v>454</v>
      </c>
      <c r="B169" s="1646" t="s">
        <v>455</v>
      </c>
      <c r="C169" s="1505"/>
      <c r="D169" s="1611">
        <v>1</v>
      </c>
      <c r="E169" s="1612"/>
      <c r="F169" s="1609">
        <v>43300</v>
      </c>
      <c r="G169" s="1610">
        <v>40684</v>
      </c>
      <c r="H169" s="1611">
        <v>0</v>
      </c>
      <c r="I169" s="1612"/>
      <c r="J169" s="1609">
        <v>0</v>
      </c>
      <c r="K169" s="1610">
        <v>0</v>
      </c>
      <c r="L169" s="1505">
        <v>0</v>
      </c>
      <c r="M169" s="1473">
        <v>0</v>
      </c>
      <c r="N169" s="1473">
        <v>0</v>
      </c>
      <c r="O169" s="1505">
        <v>0</v>
      </c>
      <c r="P169" s="1473">
        <v>0</v>
      </c>
      <c r="Q169" s="1473">
        <v>0</v>
      </c>
      <c r="R169" s="1479">
        <v>0</v>
      </c>
      <c r="S169" s="1473"/>
      <c r="T169" s="1473">
        <v>0</v>
      </c>
      <c r="U169" s="1473">
        <v>0</v>
      </c>
      <c r="V169" s="1505">
        <v>0</v>
      </c>
      <c r="W169" s="1505"/>
      <c r="X169" s="1610">
        <v>0</v>
      </c>
      <c r="Y169" s="1609">
        <v>0</v>
      </c>
      <c r="Z169" s="1609">
        <v>0</v>
      </c>
      <c r="AA169" s="1609">
        <v>0</v>
      </c>
      <c r="AB169" s="1609">
        <v>0</v>
      </c>
      <c r="AC169" s="1610">
        <v>0</v>
      </c>
      <c r="AD169" s="1678"/>
    </row>
    <row r="170" spans="1:30" ht="18" customHeight="1">
      <c r="A170" s="1605" t="s">
        <v>456</v>
      </c>
      <c r="B170" s="1613"/>
      <c r="C170" s="1614">
        <v>41800</v>
      </c>
      <c r="D170" s="1615">
        <v>0</v>
      </c>
      <c r="E170" s="1616"/>
      <c r="F170" s="1617">
        <v>0</v>
      </c>
      <c r="G170" s="1618">
        <v>0</v>
      </c>
      <c r="H170" s="1615">
        <v>0</v>
      </c>
      <c r="I170" s="1616"/>
      <c r="J170" s="1617">
        <v>0</v>
      </c>
      <c r="K170" s="1617">
        <v>0</v>
      </c>
      <c r="L170" s="1618">
        <v>0</v>
      </c>
      <c r="M170" s="1617">
        <v>0</v>
      </c>
      <c r="N170" s="1617">
        <v>0</v>
      </c>
      <c r="O170" s="1618">
        <v>1</v>
      </c>
      <c r="P170" s="1617">
        <v>647</v>
      </c>
      <c r="Q170" s="1617">
        <v>0</v>
      </c>
      <c r="R170" s="1497">
        <v>2</v>
      </c>
      <c r="S170" s="1619">
        <v>0</v>
      </c>
      <c r="T170" s="1510">
        <v>43300</v>
      </c>
      <c r="U170" s="1491">
        <v>40684</v>
      </c>
      <c r="V170" s="1620">
        <v>97.330143540669852</v>
      </c>
      <c r="W170" s="1505"/>
      <c r="X170" s="1618">
        <v>1</v>
      </c>
      <c r="Y170" s="1617">
        <v>27</v>
      </c>
      <c r="Z170" s="1617">
        <v>25</v>
      </c>
      <c r="AA170" s="1617">
        <v>0</v>
      </c>
      <c r="AB170" s="1617">
        <v>0</v>
      </c>
      <c r="AC170" s="1618">
        <v>0</v>
      </c>
      <c r="AD170" s="1678"/>
    </row>
    <row r="171" spans="1:30" ht="18" customHeight="1">
      <c r="A171" s="1605"/>
      <c r="B171" s="1606" t="s">
        <v>457</v>
      </c>
      <c r="C171" s="1505"/>
      <c r="D171" s="1607">
        <v>1</v>
      </c>
      <c r="E171" s="1608"/>
      <c r="F171" s="1609">
        <v>20970</v>
      </c>
      <c r="G171" s="1610">
        <v>18549</v>
      </c>
      <c r="H171" s="1611">
        <v>1</v>
      </c>
      <c r="I171" s="1612"/>
      <c r="J171" s="1609">
        <v>220</v>
      </c>
      <c r="K171" s="1610">
        <v>120</v>
      </c>
      <c r="L171" s="1505">
        <v>0</v>
      </c>
      <c r="M171" s="1473">
        <v>0</v>
      </c>
      <c r="N171" s="1473">
        <v>0</v>
      </c>
      <c r="O171" s="1503">
        <v>0</v>
      </c>
      <c r="P171" s="1473">
        <v>0</v>
      </c>
      <c r="Q171" s="1473">
        <v>0</v>
      </c>
      <c r="R171" s="1479">
        <v>0</v>
      </c>
      <c r="S171" s="1473"/>
      <c r="T171" s="1473">
        <v>0</v>
      </c>
      <c r="U171" s="1473">
        <v>0</v>
      </c>
      <c r="V171" s="1505">
        <v>0</v>
      </c>
      <c r="W171" s="1505"/>
      <c r="X171" s="1610">
        <v>0</v>
      </c>
      <c r="Y171" s="1609">
        <v>0</v>
      </c>
      <c r="Z171" s="1609">
        <v>0</v>
      </c>
      <c r="AA171" s="1609">
        <v>0</v>
      </c>
      <c r="AB171" s="1609">
        <v>0</v>
      </c>
      <c r="AC171" s="1610">
        <v>0</v>
      </c>
      <c r="AD171" s="1678"/>
    </row>
    <row r="172" spans="1:30" ht="18" customHeight="1">
      <c r="A172" s="1605"/>
      <c r="B172" s="1613"/>
      <c r="C172" s="1614">
        <v>19228</v>
      </c>
      <c r="D172" s="1615">
        <v>0</v>
      </c>
      <c r="E172" s="1616"/>
      <c r="F172" s="1617">
        <v>0</v>
      </c>
      <c r="G172" s="1618">
        <v>0</v>
      </c>
      <c r="H172" s="1615">
        <v>0</v>
      </c>
      <c r="I172" s="1616"/>
      <c r="J172" s="1617">
        <v>0</v>
      </c>
      <c r="K172" s="1617">
        <v>0</v>
      </c>
      <c r="L172" s="1618">
        <v>0</v>
      </c>
      <c r="M172" s="1617">
        <v>0</v>
      </c>
      <c r="N172" s="1617">
        <v>0</v>
      </c>
      <c r="O172" s="1618">
        <v>0</v>
      </c>
      <c r="P172" s="1617">
        <v>0</v>
      </c>
      <c r="Q172" s="1617">
        <v>0</v>
      </c>
      <c r="R172" s="1497">
        <v>2</v>
      </c>
      <c r="S172" s="1619">
        <v>0</v>
      </c>
      <c r="T172" s="1510">
        <v>21190</v>
      </c>
      <c r="U172" s="1491">
        <v>18669</v>
      </c>
      <c r="V172" s="1620">
        <v>97.092781360515914</v>
      </c>
      <c r="W172" s="1505"/>
      <c r="X172" s="1618">
        <v>4</v>
      </c>
      <c r="Y172" s="1617">
        <v>0</v>
      </c>
      <c r="Z172" s="1617">
        <v>188</v>
      </c>
      <c r="AA172" s="1617">
        <v>4</v>
      </c>
      <c r="AB172" s="1617">
        <v>0</v>
      </c>
      <c r="AC172" s="1618">
        <v>102</v>
      </c>
      <c r="AD172" s="1678"/>
    </row>
    <row r="173" spans="1:30" ht="18" customHeight="1">
      <c r="A173" s="1605"/>
      <c r="B173" s="1606" t="s">
        <v>458</v>
      </c>
      <c r="C173" s="1505"/>
      <c r="D173" s="1607">
        <v>1</v>
      </c>
      <c r="E173" s="1608"/>
      <c r="F173" s="1609">
        <v>11970</v>
      </c>
      <c r="G173" s="1610">
        <v>9783</v>
      </c>
      <c r="H173" s="1611">
        <v>2</v>
      </c>
      <c r="I173" s="1612"/>
      <c r="J173" s="1609">
        <v>2340</v>
      </c>
      <c r="K173" s="1610">
        <v>976</v>
      </c>
      <c r="L173" s="1505">
        <v>0</v>
      </c>
      <c r="M173" s="1473">
        <v>0</v>
      </c>
      <c r="N173" s="1473">
        <v>0</v>
      </c>
      <c r="O173" s="1503">
        <v>0</v>
      </c>
      <c r="P173" s="1473">
        <v>0</v>
      </c>
      <c r="Q173" s="1473">
        <v>0</v>
      </c>
      <c r="R173" s="1479">
        <v>0</v>
      </c>
      <c r="S173" s="1473"/>
      <c r="T173" s="1473">
        <v>0</v>
      </c>
      <c r="U173" s="1473">
        <v>0</v>
      </c>
      <c r="V173" s="1505">
        <v>0</v>
      </c>
      <c r="W173" s="1505"/>
      <c r="X173" s="1610">
        <v>0</v>
      </c>
      <c r="Y173" s="1609">
        <v>0</v>
      </c>
      <c r="Z173" s="1609">
        <v>0</v>
      </c>
      <c r="AA173" s="1609">
        <v>0</v>
      </c>
      <c r="AB173" s="1609">
        <v>0</v>
      </c>
      <c r="AC173" s="1610">
        <v>0</v>
      </c>
      <c r="AD173" s="1678"/>
    </row>
    <row r="174" spans="1:30" ht="18" customHeight="1">
      <c r="A174" s="1605"/>
      <c r="B174" s="1613"/>
      <c r="C174" s="1614">
        <v>11042</v>
      </c>
      <c r="D174" s="1615">
        <v>0</v>
      </c>
      <c r="E174" s="1616"/>
      <c r="F174" s="1617">
        <v>0</v>
      </c>
      <c r="G174" s="1618">
        <v>0</v>
      </c>
      <c r="H174" s="1615">
        <v>1</v>
      </c>
      <c r="I174" s="1616"/>
      <c r="J174" s="1617">
        <v>1800</v>
      </c>
      <c r="K174" s="1617">
        <v>62</v>
      </c>
      <c r="L174" s="1618">
        <v>0</v>
      </c>
      <c r="M174" s="1617">
        <v>0</v>
      </c>
      <c r="N174" s="1617">
        <v>0</v>
      </c>
      <c r="O174" s="1618">
        <v>0</v>
      </c>
      <c r="P174" s="1617">
        <v>0</v>
      </c>
      <c r="Q174" s="1617">
        <v>0</v>
      </c>
      <c r="R174" s="1497">
        <v>4</v>
      </c>
      <c r="S174" s="1619">
        <v>0</v>
      </c>
      <c r="T174" s="1510">
        <v>16110</v>
      </c>
      <c r="U174" s="1491">
        <v>10821</v>
      </c>
      <c r="V174" s="1620">
        <v>97.998550987140007</v>
      </c>
      <c r="W174" s="1505"/>
      <c r="X174" s="1618">
        <v>9</v>
      </c>
      <c r="Y174" s="1617">
        <v>862</v>
      </c>
      <c r="Z174" s="1617">
        <v>182</v>
      </c>
      <c r="AA174" s="1617">
        <v>6</v>
      </c>
      <c r="AB174" s="1617">
        <v>140</v>
      </c>
      <c r="AC174" s="1618">
        <v>13</v>
      </c>
      <c r="AD174" s="1678"/>
    </row>
    <row r="175" spans="1:30" ht="17.25" customHeight="1">
      <c r="A175" s="1605"/>
      <c r="B175" s="1606" t="s">
        <v>459</v>
      </c>
      <c r="C175" s="1505"/>
      <c r="D175" s="1607">
        <v>2</v>
      </c>
      <c r="E175" s="1608">
        <v>1</v>
      </c>
      <c r="F175" s="1609">
        <v>5530</v>
      </c>
      <c r="G175" s="1610">
        <v>3920</v>
      </c>
      <c r="H175" s="1611">
        <v>2</v>
      </c>
      <c r="I175" s="1612"/>
      <c r="J175" s="1609">
        <v>410</v>
      </c>
      <c r="K175" s="1610">
        <v>210</v>
      </c>
      <c r="L175" s="1505">
        <v>0</v>
      </c>
      <c r="M175" s="1473">
        <v>0</v>
      </c>
      <c r="N175" s="1473">
        <v>0</v>
      </c>
      <c r="O175" s="1503">
        <v>0</v>
      </c>
      <c r="P175" s="1473">
        <v>0</v>
      </c>
      <c r="Q175" s="1473">
        <v>0</v>
      </c>
      <c r="R175" s="1479">
        <v>0</v>
      </c>
      <c r="S175" s="1473"/>
      <c r="T175" s="1473">
        <v>0</v>
      </c>
      <c r="U175" s="1473">
        <v>0</v>
      </c>
      <c r="V175" s="1505">
        <v>0</v>
      </c>
      <c r="W175" s="1505"/>
      <c r="X175" s="1610">
        <v>0</v>
      </c>
      <c r="Y175" s="1609">
        <v>0</v>
      </c>
      <c r="Z175" s="1609">
        <v>0</v>
      </c>
      <c r="AA175" s="1609">
        <v>0</v>
      </c>
      <c r="AB175" s="1609">
        <v>0</v>
      </c>
      <c r="AC175" s="1610">
        <v>0</v>
      </c>
      <c r="AD175" s="1678"/>
    </row>
    <row r="176" spans="1:30" ht="17.25" customHeight="1">
      <c r="A176" s="1605"/>
      <c r="B176" s="1613"/>
      <c r="C176" s="1614">
        <v>4255</v>
      </c>
      <c r="D176" s="1615">
        <v>0</v>
      </c>
      <c r="E176" s="1616"/>
      <c r="F176" s="1617">
        <v>0</v>
      </c>
      <c r="G176" s="1618">
        <v>0</v>
      </c>
      <c r="H176" s="1615">
        <v>0</v>
      </c>
      <c r="I176" s="1616"/>
      <c r="J176" s="1617">
        <v>0</v>
      </c>
      <c r="K176" s="1617">
        <v>0</v>
      </c>
      <c r="L176" s="1618">
        <v>0</v>
      </c>
      <c r="M176" s="1617">
        <v>0</v>
      </c>
      <c r="N176" s="1617">
        <v>0</v>
      </c>
      <c r="O176" s="1618">
        <v>0</v>
      </c>
      <c r="P176" s="1617">
        <v>0</v>
      </c>
      <c r="Q176" s="1617">
        <v>0</v>
      </c>
      <c r="R176" s="1497">
        <v>4</v>
      </c>
      <c r="S176" s="1619">
        <v>1</v>
      </c>
      <c r="T176" s="1510">
        <v>5940</v>
      </c>
      <c r="U176" s="1491">
        <v>4130</v>
      </c>
      <c r="V176" s="1620">
        <v>97.062279670975329</v>
      </c>
      <c r="W176" s="1505"/>
      <c r="X176" s="1618">
        <v>1</v>
      </c>
      <c r="Y176" s="1617">
        <v>12</v>
      </c>
      <c r="Z176" s="1617">
        <v>12</v>
      </c>
      <c r="AA176" s="1617">
        <v>0</v>
      </c>
      <c r="AB176" s="1617">
        <v>0</v>
      </c>
      <c r="AC176" s="1618">
        <v>0</v>
      </c>
      <c r="AD176" s="1678"/>
    </row>
    <row r="177" spans="1:30" ht="17.25" customHeight="1">
      <c r="A177" s="1605"/>
      <c r="B177" s="1606" t="s">
        <v>460</v>
      </c>
      <c r="C177" s="1505"/>
      <c r="D177" s="1607">
        <v>1</v>
      </c>
      <c r="E177" s="1608"/>
      <c r="F177" s="1609">
        <v>5200</v>
      </c>
      <c r="G177" s="1610">
        <v>2689</v>
      </c>
      <c r="H177" s="1611">
        <v>4</v>
      </c>
      <c r="I177" s="1612"/>
      <c r="J177" s="1609">
        <v>1780</v>
      </c>
      <c r="K177" s="1610">
        <v>544</v>
      </c>
      <c r="L177" s="1505">
        <v>0</v>
      </c>
      <c r="M177" s="1473">
        <v>0</v>
      </c>
      <c r="N177" s="1473">
        <v>0</v>
      </c>
      <c r="O177" s="1503">
        <v>0</v>
      </c>
      <c r="P177" s="1473">
        <v>0</v>
      </c>
      <c r="Q177" s="1473">
        <v>0</v>
      </c>
      <c r="R177" s="1479">
        <v>0</v>
      </c>
      <c r="S177" s="1473"/>
      <c r="T177" s="1473">
        <v>0</v>
      </c>
      <c r="U177" s="1473">
        <v>0</v>
      </c>
      <c r="V177" s="1505">
        <v>0</v>
      </c>
      <c r="W177" s="1505"/>
      <c r="X177" s="1610">
        <v>1</v>
      </c>
      <c r="Y177" s="1609">
        <v>65</v>
      </c>
      <c r="Z177" s="1609">
        <v>20</v>
      </c>
      <c r="AA177" s="1609">
        <v>0</v>
      </c>
      <c r="AB177" s="1609">
        <v>0</v>
      </c>
      <c r="AC177" s="1610">
        <v>0</v>
      </c>
      <c r="AD177" s="1678"/>
    </row>
    <row r="178" spans="1:30" ht="17.25" customHeight="1">
      <c r="A178" s="1605"/>
      <c r="B178" s="1613"/>
      <c r="C178" s="1614">
        <v>3253</v>
      </c>
      <c r="D178" s="1615">
        <v>0</v>
      </c>
      <c r="E178" s="1616"/>
      <c r="F178" s="1617">
        <v>0</v>
      </c>
      <c r="G178" s="1618">
        <v>0</v>
      </c>
      <c r="H178" s="1615">
        <v>0</v>
      </c>
      <c r="I178" s="1616"/>
      <c r="J178" s="1617">
        <v>0</v>
      </c>
      <c r="K178" s="1617">
        <v>0</v>
      </c>
      <c r="L178" s="1618">
        <v>0</v>
      </c>
      <c r="M178" s="1617">
        <v>0</v>
      </c>
      <c r="N178" s="1617">
        <v>0</v>
      </c>
      <c r="O178" s="1618">
        <v>0</v>
      </c>
      <c r="P178" s="1617">
        <v>0</v>
      </c>
      <c r="Q178" s="1617">
        <v>0</v>
      </c>
      <c r="R178" s="1497">
        <v>5</v>
      </c>
      <c r="S178" s="1655">
        <v>0</v>
      </c>
      <c r="T178" s="1510">
        <v>6980</v>
      </c>
      <c r="U178" s="1491">
        <v>3233</v>
      </c>
      <c r="V178" s="1620">
        <v>99.385182908084843</v>
      </c>
      <c r="W178" s="1510"/>
      <c r="X178" s="1618">
        <v>0</v>
      </c>
      <c r="Y178" s="1617">
        <v>0</v>
      </c>
      <c r="Z178" s="1617">
        <v>0</v>
      </c>
      <c r="AA178" s="1617">
        <v>0</v>
      </c>
      <c r="AB178" s="1617">
        <v>0</v>
      </c>
      <c r="AC178" s="1618">
        <v>0</v>
      </c>
      <c r="AD178" s="1678"/>
    </row>
    <row r="179" spans="1:30" ht="17.25" customHeight="1">
      <c r="A179" s="1605"/>
      <c r="B179" s="1606" t="s">
        <v>461</v>
      </c>
      <c r="C179" s="1505"/>
      <c r="D179" s="1607">
        <v>0</v>
      </c>
      <c r="E179" s="1608"/>
      <c r="F179" s="1609">
        <v>0</v>
      </c>
      <c r="G179" s="1610">
        <v>0</v>
      </c>
      <c r="H179" s="1611">
        <v>1</v>
      </c>
      <c r="I179" s="1612"/>
      <c r="J179" s="1609">
        <v>1870</v>
      </c>
      <c r="K179" s="1610">
        <v>1477</v>
      </c>
      <c r="L179" s="1505">
        <v>0</v>
      </c>
      <c r="M179" s="1473">
        <v>0</v>
      </c>
      <c r="N179" s="1473">
        <v>0</v>
      </c>
      <c r="O179" s="1503">
        <v>0</v>
      </c>
      <c r="P179" s="1473">
        <v>0</v>
      </c>
      <c r="Q179" s="1473">
        <v>0</v>
      </c>
      <c r="R179" s="1479">
        <v>0</v>
      </c>
      <c r="S179" s="1473"/>
      <c r="T179" s="1473">
        <v>0</v>
      </c>
      <c r="U179" s="1473">
        <v>0</v>
      </c>
      <c r="V179" s="1505">
        <v>0</v>
      </c>
      <c r="W179" s="1505"/>
      <c r="X179" s="1610">
        <v>0</v>
      </c>
      <c r="Y179" s="1609">
        <v>0</v>
      </c>
      <c r="Z179" s="1609">
        <v>0</v>
      </c>
      <c r="AA179" s="1609">
        <v>0</v>
      </c>
      <c r="AB179" s="1609">
        <v>0</v>
      </c>
      <c r="AC179" s="1610">
        <v>0</v>
      </c>
      <c r="AD179" s="1678"/>
    </row>
    <row r="180" spans="1:30" ht="17.25" customHeight="1">
      <c r="A180" s="1605"/>
      <c r="B180" s="1613"/>
      <c r="C180" s="1614">
        <v>1608</v>
      </c>
      <c r="D180" s="1615">
        <v>0</v>
      </c>
      <c r="E180" s="1616"/>
      <c r="F180" s="1617">
        <v>0</v>
      </c>
      <c r="G180" s="1618">
        <v>0</v>
      </c>
      <c r="H180" s="1615">
        <v>0</v>
      </c>
      <c r="I180" s="1616"/>
      <c r="J180" s="1617">
        <v>0</v>
      </c>
      <c r="K180" s="1617">
        <v>0</v>
      </c>
      <c r="L180" s="1618">
        <v>0</v>
      </c>
      <c r="M180" s="1617">
        <v>0</v>
      </c>
      <c r="N180" s="1617">
        <v>0</v>
      </c>
      <c r="O180" s="1618">
        <v>0</v>
      </c>
      <c r="P180" s="1617">
        <v>0</v>
      </c>
      <c r="Q180" s="1617">
        <v>0</v>
      </c>
      <c r="R180" s="1497">
        <v>1</v>
      </c>
      <c r="S180" s="1619">
        <v>0</v>
      </c>
      <c r="T180" s="1510">
        <v>1870</v>
      </c>
      <c r="U180" s="1491">
        <v>1477</v>
      </c>
      <c r="V180" s="1620">
        <v>91.853233830845767</v>
      </c>
      <c r="W180" s="1505"/>
      <c r="X180" s="1618">
        <v>1</v>
      </c>
      <c r="Y180" s="1617">
        <v>50</v>
      </c>
      <c r="Z180" s="1617">
        <v>45</v>
      </c>
      <c r="AA180" s="1617">
        <v>2</v>
      </c>
      <c r="AB180" s="1617">
        <v>47</v>
      </c>
      <c r="AC180" s="1618">
        <v>22</v>
      </c>
      <c r="AD180" s="1678"/>
    </row>
    <row r="181" spans="1:30" s="1675" customFormat="1" ht="17.25" customHeight="1">
      <c r="A181" s="1627"/>
      <c r="B181" s="1628"/>
      <c r="C181" s="1629">
        <v>0</v>
      </c>
      <c r="D181" s="1673">
        <v>6</v>
      </c>
      <c r="E181" s="1680">
        <v>1</v>
      </c>
      <c r="F181" s="1661">
        <v>86970</v>
      </c>
      <c r="G181" s="1661">
        <v>75625</v>
      </c>
      <c r="H181" s="1673">
        <v>10</v>
      </c>
      <c r="I181" s="1680">
        <v>0</v>
      </c>
      <c r="J181" s="1661">
        <v>6620</v>
      </c>
      <c r="K181" s="1661">
        <v>3327</v>
      </c>
      <c r="L181" s="1672">
        <v>0</v>
      </c>
      <c r="M181" s="1672">
        <v>0</v>
      </c>
      <c r="N181" s="1672">
        <v>0</v>
      </c>
      <c r="O181" s="1672">
        <v>0</v>
      </c>
      <c r="P181" s="1672">
        <v>0</v>
      </c>
      <c r="Q181" s="1672">
        <v>0</v>
      </c>
      <c r="R181" s="1634">
        <v>0</v>
      </c>
      <c r="S181" s="1629">
        <v>0</v>
      </c>
      <c r="T181" s="1672">
        <v>0</v>
      </c>
      <c r="U181" s="1672">
        <v>0</v>
      </c>
      <c r="V181" s="1672">
        <v>0</v>
      </c>
      <c r="W181" s="1505"/>
      <c r="X181" s="1662">
        <v>1</v>
      </c>
      <c r="Y181" s="1661">
        <v>65</v>
      </c>
      <c r="Z181" s="1661">
        <v>20</v>
      </c>
      <c r="AA181" s="1661">
        <v>0</v>
      </c>
      <c r="AB181" s="1662">
        <v>0</v>
      </c>
      <c r="AC181" s="1662">
        <v>0</v>
      </c>
      <c r="AD181" s="1679"/>
    </row>
    <row r="182" spans="1:30" s="1675" customFormat="1" ht="17.25" customHeight="1">
      <c r="A182" s="1636"/>
      <c r="B182" s="1637" t="s">
        <v>346</v>
      </c>
      <c r="C182" s="1649">
        <v>81186</v>
      </c>
      <c r="D182" s="1639">
        <v>0</v>
      </c>
      <c r="E182" s="1640">
        <v>0</v>
      </c>
      <c r="F182" s="1668">
        <v>0</v>
      </c>
      <c r="G182" s="1668">
        <v>0</v>
      </c>
      <c r="H182" s="1639">
        <v>1</v>
      </c>
      <c r="I182" s="1640">
        <v>0</v>
      </c>
      <c r="J182" s="1668">
        <v>1800</v>
      </c>
      <c r="K182" s="1668">
        <v>62</v>
      </c>
      <c r="L182" s="1641">
        <v>0</v>
      </c>
      <c r="M182" s="1641">
        <v>0</v>
      </c>
      <c r="N182" s="1641">
        <v>0</v>
      </c>
      <c r="O182" s="1641">
        <v>1</v>
      </c>
      <c r="P182" s="1641">
        <v>647</v>
      </c>
      <c r="Q182" s="1641">
        <v>0</v>
      </c>
      <c r="R182" s="1642">
        <v>18</v>
      </c>
      <c r="S182" s="1652">
        <v>1</v>
      </c>
      <c r="T182" s="1643">
        <v>95390</v>
      </c>
      <c r="U182" s="1643">
        <v>79014</v>
      </c>
      <c r="V182" s="1645">
        <v>97.32466188751755</v>
      </c>
      <c r="W182" s="1510"/>
      <c r="X182" s="1641">
        <v>16</v>
      </c>
      <c r="Y182" s="1668">
        <v>951</v>
      </c>
      <c r="Z182" s="1668">
        <v>452</v>
      </c>
      <c r="AA182" s="1668">
        <v>12</v>
      </c>
      <c r="AB182" s="1641">
        <v>187</v>
      </c>
      <c r="AC182" s="1641">
        <v>137</v>
      </c>
      <c r="AD182" s="1679"/>
    </row>
    <row r="183" spans="1:30" ht="17.25" customHeight="1">
      <c r="A183" s="1681" t="s">
        <v>462</v>
      </c>
      <c r="B183" s="1635"/>
      <c r="C183" s="1629">
        <v>0</v>
      </c>
      <c r="D183" s="1630">
        <v>31</v>
      </c>
      <c r="E183" s="1676">
        <v>8</v>
      </c>
      <c r="F183" s="1630">
        <v>1672899</v>
      </c>
      <c r="G183" s="1635">
        <v>1596287</v>
      </c>
      <c r="H183" s="1630">
        <v>14</v>
      </c>
      <c r="I183" s="1676">
        <v>0</v>
      </c>
      <c r="J183" s="1682">
        <v>9913</v>
      </c>
      <c r="K183" s="1630">
        <v>7553</v>
      </c>
      <c r="L183" s="1683">
        <v>6</v>
      </c>
      <c r="M183" s="1632">
        <v>1559</v>
      </c>
      <c r="N183" s="1633">
        <v>889</v>
      </c>
      <c r="O183" s="1684">
        <v>2</v>
      </c>
      <c r="P183" s="1683">
        <v>3376</v>
      </c>
      <c r="Q183" s="1684">
        <v>0</v>
      </c>
      <c r="R183" s="1685">
        <v>0</v>
      </c>
      <c r="S183" s="1686">
        <v>0</v>
      </c>
      <c r="T183" s="1685">
        <v>0</v>
      </c>
      <c r="U183" s="1685">
        <v>0</v>
      </c>
      <c r="V183" s="1687">
        <v>0</v>
      </c>
      <c r="W183" s="1505"/>
      <c r="X183" s="1685">
        <v>7</v>
      </c>
      <c r="Y183" s="1685">
        <v>472</v>
      </c>
      <c r="Z183" s="1685">
        <v>185</v>
      </c>
      <c r="AA183" s="1685">
        <v>7</v>
      </c>
      <c r="AB183" s="1685">
        <v>194</v>
      </c>
      <c r="AC183" s="1687">
        <v>82</v>
      </c>
      <c r="AD183" s="1678"/>
    </row>
    <row r="184" spans="1:30" ht="17.25" customHeight="1">
      <c r="A184" s="1681" t="s">
        <v>463</v>
      </c>
      <c r="B184" s="1688" t="s">
        <v>464</v>
      </c>
      <c r="C184" s="1649">
        <v>1623506</v>
      </c>
      <c r="D184" s="1689">
        <v>5</v>
      </c>
      <c r="E184" s="1690">
        <v>0</v>
      </c>
      <c r="F184" s="1689">
        <v>39283</v>
      </c>
      <c r="G184" s="1691">
        <v>1335</v>
      </c>
      <c r="H184" s="1689">
        <v>24</v>
      </c>
      <c r="I184" s="1690">
        <v>0</v>
      </c>
      <c r="J184" s="1692">
        <v>14533</v>
      </c>
      <c r="K184" s="1691">
        <v>2778</v>
      </c>
      <c r="L184" s="1685">
        <v>18</v>
      </c>
      <c r="M184" s="1630">
        <v>6613</v>
      </c>
      <c r="N184" s="1635">
        <v>129</v>
      </c>
      <c r="O184" s="1687">
        <v>20</v>
      </c>
      <c r="P184" s="1630">
        <v>71220</v>
      </c>
      <c r="Q184" s="1685">
        <v>0</v>
      </c>
      <c r="R184" s="1685">
        <v>120</v>
      </c>
      <c r="S184" s="1686">
        <v>8</v>
      </c>
      <c r="T184" s="1630">
        <v>1744800</v>
      </c>
      <c r="U184" s="1630">
        <v>1608971</v>
      </c>
      <c r="V184" s="1693">
        <v>99.104715350605417</v>
      </c>
      <c r="W184" s="1505"/>
      <c r="X184" s="1694">
        <v>42</v>
      </c>
      <c r="Y184" s="1694">
        <v>2218</v>
      </c>
      <c r="Z184" s="1694">
        <v>1685</v>
      </c>
      <c r="AA184" s="1694">
        <v>44</v>
      </c>
      <c r="AB184" s="1694">
        <v>1049</v>
      </c>
      <c r="AC184" s="1695">
        <v>914</v>
      </c>
      <c r="AD184" s="1678"/>
    </row>
    <row r="185" spans="1:30" ht="17.25" customHeight="1">
      <c r="A185" s="1681" t="s">
        <v>465</v>
      </c>
      <c r="B185" s="1635"/>
      <c r="C185" s="1629">
        <v>0</v>
      </c>
      <c r="D185" s="1673">
        <v>23</v>
      </c>
      <c r="E185" s="1671">
        <v>4</v>
      </c>
      <c r="F185" s="1673">
        <v>266755</v>
      </c>
      <c r="G185" s="1662">
        <v>227313</v>
      </c>
      <c r="H185" s="1673">
        <v>30</v>
      </c>
      <c r="I185" s="1661">
        <v>0</v>
      </c>
      <c r="J185" s="1696">
        <v>30561</v>
      </c>
      <c r="K185" s="1658">
        <v>22227</v>
      </c>
      <c r="L185" s="1658">
        <v>2</v>
      </c>
      <c r="M185" s="1673">
        <v>624</v>
      </c>
      <c r="N185" s="1662">
        <v>92</v>
      </c>
      <c r="O185" s="1697">
        <v>0</v>
      </c>
      <c r="P185" s="1658">
        <v>0</v>
      </c>
      <c r="Q185" s="1658">
        <v>0</v>
      </c>
      <c r="R185" s="1698">
        <v>0</v>
      </c>
      <c r="S185" s="1699">
        <v>0</v>
      </c>
      <c r="T185" s="1698">
        <v>0</v>
      </c>
      <c r="U185" s="1698">
        <v>0</v>
      </c>
      <c r="V185" s="1700"/>
      <c r="W185" s="1505"/>
      <c r="X185" s="1658">
        <v>8</v>
      </c>
      <c r="Y185" s="1658">
        <v>590</v>
      </c>
      <c r="Z185" s="1658">
        <v>289</v>
      </c>
      <c r="AA185" s="1658">
        <v>20</v>
      </c>
      <c r="AB185" s="1658">
        <v>684</v>
      </c>
      <c r="AC185" s="1697">
        <v>265</v>
      </c>
      <c r="AD185" s="1678"/>
    </row>
    <row r="186" spans="1:30" ht="17.25" customHeight="1">
      <c r="A186" s="1681"/>
      <c r="B186" s="1688" t="s">
        <v>466</v>
      </c>
      <c r="C186" s="1649">
        <v>256374</v>
      </c>
      <c r="D186" s="1642">
        <v>0</v>
      </c>
      <c r="E186" s="1640">
        <v>0</v>
      </c>
      <c r="F186" s="1642">
        <v>0</v>
      </c>
      <c r="G186" s="1643">
        <v>0</v>
      </c>
      <c r="H186" s="1642">
        <v>20</v>
      </c>
      <c r="I186" s="1652">
        <v>0</v>
      </c>
      <c r="J186" s="1701">
        <v>15654</v>
      </c>
      <c r="K186" s="1702">
        <v>2671</v>
      </c>
      <c r="L186" s="1703">
        <v>12</v>
      </c>
      <c r="M186" s="1642">
        <v>94785</v>
      </c>
      <c r="N186" s="1643">
        <v>573</v>
      </c>
      <c r="O186" s="1704">
        <v>5</v>
      </c>
      <c r="P186" s="1702">
        <v>4250</v>
      </c>
      <c r="Q186" s="1702">
        <v>52</v>
      </c>
      <c r="R186" s="1702">
        <v>92</v>
      </c>
      <c r="S186" s="1705">
        <v>4</v>
      </c>
      <c r="T186" s="1642">
        <v>408379</v>
      </c>
      <c r="U186" s="1643">
        <v>252876</v>
      </c>
      <c r="V186" s="1706">
        <v>98.635587072011987</v>
      </c>
      <c r="W186" s="1505"/>
      <c r="X186" s="1702">
        <v>26</v>
      </c>
      <c r="Y186" s="1702">
        <v>1970</v>
      </c>
      <c r="Z186" s="1702">
        <v>723</v>
      </c>
      <c r="AA186" s="1702">
        <v>31</v>
      </c>
      <c r="AB186" s="1702">
        <v>861</v>
      </c>
      <c r="AC186" s="1704">
        <v>336</v>
      </c>
      <c r="AD186" s="1678"/>
    </row>
    <row r="187" spans="1:30" ht="17.25" customHeight="1">
      <c r="A187" s="1681"/>
      <c r="B187" s="1672"/>
      <c r="C187" s="1670">
        <v>0</v>
      </c>
      <c r="D187" s="1634">
        <v>15</v>
      </c>
      <c r="E187" s="1671">
        <v>2</v>
      </c>
      <c r="F187" s="1634">
        <v>104140</v>
      </c>
      <c r="G187" s="1672">
        <v>93058</v>
      </c>
      <c r="H187" s="1630">
        <v>32</v>
      </c>
      <c r="I187" s="1676">
        <v>0</v>
      </c>
      <c r="J187" s="1707">
        <v>63323</v>
      </c>
      <c r="K187" s="1630">
        <v>46815</v>
      </c>
      <c r="L187" s="1685">
        <v>1</v>
      </c>
      <c r="M187" s="1630">
        <v>140</v>
      </c>
      <c r="N187" s="1687">
        <v>14</v>
      </c>
      <c r="O187" s="1687">
        <v>0</v>
      </c>
      <c r="P187" s="1685">
        <v>0</v>
      </c>
      <c r="Q187" s="1685">
        <v>0</v>
      </c>
      <c r="R187" s="1685">
        <v>0</v>
      </c>
      <c r="S187" s="1708">
        <v>0</v>
      </c>
      <c r="T187" s="1685">
        <v>0</v>
      </c>
      <c r="U187" s="1687">
        <v>0</v>
      </c>
      <c r="V187" s="1687"/>
      <c r="W187" s="1505"/>
      <c r="X187" s="1709">
        <v>2</v>
      </c>
      <c r="Y187" s="1709">
        <v>155</v>
      </c>
      <c r="Z187" s="1709">
        <v>26</v>
      </c>
      <c r="AA187" s="1709">
        <v>7</v>
      </c>
      <c r="AB187" s="1709">
        <v>243</v>
      </c>
      <c r="AC187" s="1709">
        <v>70</v>
      </c>
      <c r="AD187" s="1678"/>
    </row>
    <row r="188" spans="1:30" ht="17.25" customHeight="1">
      <c r="A188" s="1681"/>
      <c r="B188" s="1688" t="s">
        <v>467</v>
      </c>
      <c r="C188" s="1649">
        <v>142342</v>
      </c>
      <c r="D188" s="1639">
        <v>1</v>
      </c>
      <c r="E188" s="1640">
        <v>0</v>
      </c>
      <c r="F188" s="1639">
        <v>6860</v>
      </c>
      <c r="G188" s="1641">
        <v>25</v>
      </c>
      <c r="H188" s="1639">
        <v>4</v>
      </c>
      <c r="I188" s="1640">
        <v>0</v>
      </c>
      <c r="J188" s="1710">
        <v>2021</v>
      </c>
      <c r="K188" s="1665">
        <v>717</v>
      </c>
      <c r="L188" s="1665">
        <v>3</v>
      </c>
      <c r="M188" s="1639">
        <v>1150</v>
      </c>
      <c r="N188" s="1703">
        <v>134</v>
      </c>
      <c r="O188" s="1703">
        <v>0</v>
      </c>
      <c r="P188" s="1665">
        <v>0</v>
      </c>
      <c r="Q188" s="1665">
        <v>0</v>
      </c>
      <c r="R188" s="1702">
        <v>56</v>
      </c>
      <c r="S188" s="1705">
        <v>2</v>
      </c>
      <c r="T188" s="1642">
        <v>177634</v>
      </c>
      <c r="U188" s="1642">
        <v>140763</v>
      </c>
      <c r="V188" s="1706">
        <v>98.890699863708534</v>
      </c>
      <c r="W188" s="1510"/>
      <c r="X188" s="1702">
        <v>13</v>
      </c>
      <c r="Y188" s="1702">
        <v>659</v>
      </c>
      <c r="Z188" s="1702">
        <v>190</v>
      </c>
      <c r="AA188" s="1702">
        <v>18</v>
      </c>
      <c r="AB188" s="1702">
        <v>571</v>
      </c>
      <c r="AC188" s="1704">
        <v>324</v>
      </c>
      <c r="AD188" s="1678"/>
    </row>
    <row r="189" spans="1:30" ht="17.25" customHeight="1">
      <c r="A189" s="1681"/>
      <c r="B189" s="1711"/>
      <c r="C189" s="1712">
        <v>2022222</v>
      </c>
      <c r="D189" s="1713">
        <v>69</v>
      </c>
      <c r="E189" s="1714">
        <v>14</v>
      </c>
      <c r="F189" s="1713">
        <v>2043794</v>
      </c>
      <c r="G189" s="1528">
        <v>1916658</v>
      </c>
      <c r="H189" s="1713">
        <v>76</v>
      </c>
      <c r="I189" s="1714">
        <v>0</v>
      </c>
      <c r="J189" s="1713">
        <v>103797</v>
      </c>
      <c r="K189" s="1528">
        <v>76595</v>
      </c>
      <c r="L189" s="1715">
        <v>9</v>
      </c>
      <c r="M189" s="1716">
        <v>2323</v>
      </c>
      <c r="N189" s="1715">
        <v>995</v>
      </c>
      <c r="O189" s="1715">
        <v>2</v>
      </c>
      <c r="P189" s="1715">
        <v>3376</v>
      </c>
      <c r="Q189" s="1715">
        <v>0</v>
      </c>
      <c r="R189" s="1713">
        <v>0</v>
      </c>
      <c r="S189" s="1714">
        <v>0</v>
      </c>
      <c r="T189" s="1717">
        <v>2330813</v>
      </c>
      <c r="U189" s="1718">
        <v>2002610</v>
      </c>
      <c r="V189" s="1719">
        <v>99.030175717601736</v>
      </c>
      <c r="W189" s="1505"/>
      <c r="X189" s="1715">
        <v>17</v>
      </c>
      <c r="Y189" s="1720">
        <v>1217</v>
      </c>
      <c r="Z189" s="1720">
        <v>500</v>
      </c>
      <c r="AA189" s="1720">
        <v>34</v>
      </c>
      <c r="AB189" s="1715">
        <v>1121</v>
      </c>
      <c r="AC189" s="1715">
        <v>417</v>
      </c>
      <c r="AD189" s="1678"/>
    </row>
    <row r="190" spans="1:30" ht="17.25" customHeight="1">
      <c r="A190" s="1721"/>
      <c r="B190" s="1711"/>
      <c r="C190" s="1712"/>
      <c r="D190" s="1722">
        <v>6</v>
      </c>
      <c r="E190" s="1723">
        <v>0</v>
      </c>
      <c r="F190" s="1722">
        <v>46143</v>
      </c>
      <c r="G190" s="1724">
        <v>1360</v>
      </c>
      <c r="H190" s="1722">
        <v>48</v>
      </c>
      <c r="I190" s="1725">
        <v>0</v>
      </c>
      <c r="J190" s="1724">
        <v>32208</v>
      </c>
      <c r="K190" s="1726">
        <v>6166</v>
      </c>
      <c r="L190" s="1727">
        <v>33</v>
      </c>
      <c r="M190" s="1726">
        <v>102548</v>
      </c>
      <c r="N190" s="1727">
        <v>836</v>
      </c>
      <c r="O190" s="1727">
        <v>25</v>
      </c>
      <c r="P190" s="1727">
        <v>75470</v>
      </c>
      <c r="Q190" s="1727">
        <v>52</v>
      </c>
      <c r="R190" s="1728">
        <v>268</v>
      </c>
      <c r="S190" s="1729">
        <v>14</v>
      </c>
      <c r="T190" s="1717"/>
      <c r="U190" s="1718"/>
      <c r="V190" s="1719"/>
      <c r="W190" s="1505"/>
      <c r="X190" s="1727">
        <v>81</v>
      </c>
      <c r="Y190" s="1723">
        <v>4847</v>
      </c>
      <c r="Z190" s="1723">
        <v>2598</v>
      </c>
      <c r="AA190" s="1723">
        <v>93</v>
      </c>
      <c r="AB190" s="1727">
        <v>2481</v>
      </c>
      <c r="AC190" s="1727">
        <v>1574</v>
      </c>
      <c r="AD190" s="1678"/>
    </row>
    <row r="191" spans="1:30" ht="33" customHeight="1">
      <c r="A191" s="1464"/>
      <c r="B191" s="1463" t="s">
        <v>346</v>
      </c>
      <c r="C191" s="1730"/>
      <c r="D191" s="1731">
        <v>61</v>
      </c>
      <c r="E191" s="1732"/>
      <c r="F191" s="1733">
        <v>2089937</v>
      </c>
      <c r="G191" s="1540">
        <v>1918018</v>
      </c>
      <c r="H191" s="1734">
        <v>124</v>
      </c>
      <c r="I191" s="1735"/>
      <c r="J191" s="1540">
        <v>136005</v>
      </c>
      <c r="K191" s="1540">
        <v>82761</v>
      </c>
      <c r="L191" s="1540">
        <v>42</v>
      </c>
      <c r="M191" s="1540">
        <v>104871</v>
      </c>
      <c r="N191" s="1736">
        <v>1831</v>
      </c>
      <c r="O191" s="1737">
        <v>27</v>
      </c>
      <c r="P191" s="1733">
        <v>78846</v>
      </c>
      <c r="Q191" s="1733">
        <v>52</v>
      </c>
      <c r="R191" s="1738">
        <v>254</v>
      </c>
      <c r="S191" s="1732"/>
      <c r="T191" s="1739"/>
      <c r="U191" s="1740"/>
      <c r="V191" s="1741"/>
      <c r="W191" s="1505"/>
      <c r="X191" s="1737">
        <v>98</v>
      </c>
      <c r="Y191" s="1733">
        <v>6064</v>
      </c>
      <c r="Z191" s="1733">
        <v>3098</v>
      </c>
      <c r="AA191" s="1733">
        <v>127</v>
      </c>
      <c r="AB191" s="1737">
        <v>3602</v>
      </c>
      <c r="AC191" s="1737">
        <v>1991</v>
      </c>
      <c r="AD191" s="1678"/>
    </row>
    <row r="192" spans="1:30" ht="17.25" customHeight="1">
      <c r="A192" s="1742"/>
      <c r="E192" s="1555"/>
      <c r="I192" s="1555"/>
      <c r="R192" s="1555"/>
      <c r="S192" s="1555"/>
      <c r="V192" s="1556"/>
      <c r="X192" s="1411" t="s">
        <v>468</v>
      </c>
    </row>
    <row r="193" spans="1:24" ht="17.25" customHeight="1">
      <c r="A193" s="1742"/>
      <c r="C193" s="1743" t="s">
        <v>339</v>
      </c>
      <c r="D193" s="1744" t="s">
        <v>340</v>
      </c>
      <c r="E193" s="1745"/>
      <c r="I193" s="1555"/>
      <c r="R193" s="1555"/>
      <c r="S193" s="1555"/>
      <c r="V193" s="1556"/>
      <c r="X193" s="1411" t="s">
        <v>469</v>
      </c>
    </row>
    <row r="194" spans="1:24" ht="17.25" customHeight="1">
      <c r="C194" s="1743" t="s">
        <v>345</v>
      </c>
      <c r="D194" s="1746" t="s">
        <v>343</v>
      </c>
      <c r="E194" s="1747"/>
      <c r="F194" s="1411" t="s">
        <v>344</v>
      </c>
    </row>
    <row r="195" spans="1:24" ht="18" customHeight="1">
      <c r="F195" s="1411" t="s">
        <v>470</v>
      </c>
    </row>
  </sheetData>
  <autoFilter ref="A8:AD195" xr:uid="{00000000-0009-0000-0000-000001000000}">
    <filterColumn colId="17" showButton="0"/>
  </autoFilter>
  <mergeCells count="120">
    <mergeCell ref="U189:U191"/>
    <mergeCell ref="V189:V191"/>
    <mergeCell ref="D193:E193"/>
    <mergeCell ref="D194:E194"/>
    <mergeCell ref="B173:B174"/>
    <mergeCell ref="B175:B176"/>
    <mergeCell ref="B177:B178"/>
    <mergeCell ref="B179:B180"/>
    <mergeCell ref="C189:C191"/>
    <mergeCell ref="T189:T191"/>
    <mergeCell ref="B159:B160"/>
    <mergeCell ref="B161:B162"/>
    <mergeCell ref="B163:B164"/>
    <mergeCell ref="B165:B166"/>
    <mergeCell ref="B169:B170"/>
    <mergeCell ref="B171:B172"/>
    <mergeCell ref="B145:B146"/>
    <mergeCell ref="B149:B150"/>
    <mergeCell ref="B151:B152"/>
    <mergeCell ref="B153:B154"/>
    <mergeCell ref="B155:B156"/>
    <mergeCell ref="B157:B158"/>
    <mergeCell ref="B131:B132"/>
    <mergeCell ref="B133:B134"/>
    <mergeCell ref="B137:B138"/>
    <mergeCell ref="B139:B140"/>
    <mergeCell ref="B141:B142"/>
    <mergeCell ref="B143:B144"/>
    <mergeCell ref="B121:B122"/>
    <mergeCell ref="B123:B124"/>
    <mergeCell ref="A125:A126"/>
    <mergeCell ref="B125:B126"/>
    <mergeCell ref="B127:B128"/>
    <mergeCell ref="B129:B130"/>
    <mergeCell ref="B107:B108"/>
    <mergeCell ref="B109:B110"/>
    <mergeCell ref="B111:B112"/>
    <mergeCell ref="B113:B114"/>
    <mergeCell ref="B115:B116"/>
    <mergeCell ref="B119:B120"/>
    <mergeCell ref="A94:A97"/>
    <mergeCell ref="B95:B96"/>
    <mergeCell ref="B97:B98"/>
    <mergeCell ref="B99:B100"/>
    <mergeCell ref="B101:B102"/>
    <mergeCell ref="B105:B106"/>
    <mergeCell ref="B83:B84"/>
    <mergeCell ref="B85:B86"/>
    <mergeCell ref="B87:B88"/>
    <mergeCell ref="B89:B90"/>
    <mergeCell ref="B91:B92"/>
    <mergeCell ref="B93:B94"/>
    <mergeCell ref="B69:B70"/>
    <mergeCell ref="B71:B72"/>
    <mergeCell ref="B75:B76"/>
    <mergeCell ref="B77:B78"/>
    <mergeCell ref="B79:B80"/>
    <mergeCell ref="B81:B82"/>
    <mergeCell ref="B57:B58"/>
    <mergeCell ref="B59:B60"/>
    <mergeCell ref="B61:B62"/>
    <mergeCell ref="B63:B64"/>
    <mergeCell ref="B65:B66"/>
    <mergeCell ref="B67:B68"/>
    <mergeCell ref="B43:B44"/>
    <mergeCell ref="B45:B46"/>
    <mergeCell ref="B47:B48"/>
    <mergeCell ref="B49:B50"/>
    <mergeCell ref="B51:B52"/>
    <mergeCell ref="B53:B54"/>
    <mergeCell ref="B27:B28"/>
    <mergeCell ref="B29:B30"/>
    <mergeCell ref="B33:B34"/>
    <mergeCell ref="B35:B36"/>
    <mergeCell ref="B37:B38"/>
    <mergeCell ref="B39:B40"/>
    <mergeCell ref="B15:B16"/>
    <mergeCell ref="B17:B18"/>
    <mergeCell ref="B19:B20"/>
    <mergeCell ref="B21:B22"/>
    <mergeCell ref="B23:B24"/>
    <mergeCell ref="B25:B26"/>
    <mergeCell ref="AB5:AB6"/>
    <mergeCell ref="AC5:AC6"/>
    <mergeCell ref="R8:S8"/>
    <mergeCell ref="B9:B10"/>
    <mergeCell ref="B11:B12"/>
    <mergeCell ref="B13:B14"/>
    <mergeCell ref="T5:T6"/>
    <mergeCell ref="U5:U6"/>
    <mergeCell ref="X5:X6"/>
    <mergeCell ref="Y5:Y6"/>
    <mergeCell ref="Z5:Z6"/>
    <mergeCell ref="AA5:AA6"/>
    <mergeCell ref="M5:M6"/>
    <mergeCell ref="N5:N6"/>
    <mergeCell ref="O5:O6"/>
    <mergeCell ref="P5:P6"/>
    <mergeCell ref="Q5:Q6"/>
    <mergeCell ref="R5:S6"/>
    <mergeCell ref="V3:V6"/>
    <mergeCell ref="X3:AC3"/>
    <mergeCell ref="B4:B5"/>
    <mergeCell ref="L4:N4"/>
    <mergeCell ref="O4:Q4"/>
    <mergeCell ref="X4:Z4"/>
    <mergeCell ref="AA4:AC4"/>
    <mergeCell ref="D5:E6"/>
    <mergeCell ref="F5:F6"/>
    <mergeCell ref="G5:G6"/>
    <mergeCell ref="A3:A6"/>
    <mergeCell ref="D3:G4"/>
    <mergeCell ref="H3:K4"/>
    <mergeCell ref="L3:N3"/>
    <mergeCell ref="O3:Q3"/>
    <mergeCell ref="R3:U4"/>
    <mergeCell ref="H5:I6"/>
    <mergeCell ref="J5:J6"/>
    <mergeCell ref="K5:K6"/>
    <mergeCell ref="L5:L6"/>
  </mergeCells>
  <phoneticPr fontId="6"/>
  <printOptions horizontalCentered="1" gridLinesSet="0"/>
  <pageMargins left="0.98425196850393704" right="0.78740157480314965" top="0.78740157480314965" bottom="0.39370078740157483" header="0" footer="0"/>
  <pageSetup paperSize="9" scale="62" fitToHeight="0" pageOrder="overThenDown" orientation="portrait" r:id="rId1"/>
  <headerFooter alignWithMargins="0"/>
  <rowBreaks count="2" manualBreakCount="2">
    <brk id="74" max="28" man="1"/>
    <brk id="136" max="28" man="1"/>
  </rowBreaks>
  <colBreaks count="1" manualBreakCount="1">
    <brk id="14" max="194"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486590-0CA6-4AB7-85C1-B81916131182}">
  <dimension ref="A1:W61"/>
  <sheetViews>
    <sheetView view="pageBreakPreview" zoomScale="80" zoomScaleNormal="75" zoomScaleSheetLayoutView="80" workbookViewId="0">
      <pane xSplit="1" ySplit="6" topLeftCell="B7" activePane="bottomRight" state="frozen"/>
      <selection pane="topRight" activeCell="B1" sqref="B1"/>
      <selection pane="bottomLeft" activeCell="A7" sqref="A7"/>
      <selection pane="bottomRight"/>
    </sheetView>
  </sheetViews>
  <sheetFormatPr defaultColWidth="10" defaultRowHeight="17.5" customHeight="1"/>
  <cols>
    <col min="1" max="1" width="3.08984375" style="1750" customWidth="1"/>
    <col min="2" max="8" width="10.6328125" style="1749" customWidth="1"/>
    <col min="9" max="11" width="6.08984375" style="1749" customWidth="1"/>
    <col min="12" max="12" width="3.08984375" style="1750" customWidth="1"/>
    <col min="13" max="19" width="10.6328125" style="1749" customWidth="1"/>
    <col min="20" max="22" width="6.08984375" style="1749" customWidth="1"/>
    <col min="23" max="16384" width="10" style="1749"/>
  </cols>
  <sheetData>
    <row r="1" spans="1:22" ht="17.5" customHeight="1">
      <c r="A1" s="1748" t="s">
        <v>471</v>
      </c>
    </row>
    <row r="2" spans="1:22" ht="6" customHeight="1">
      <c r="K2" s="1751"/>
    </row>
    <row r="3" spans="1:22" ht="12">
      <c r="A3" s="1752" t="s">
        <v>472</v>
      </c>
      <c r="B3" s="1753" t="s">
        <v>232</v>
      </c>
      <c r="C3" s="1754"/>
      <c r="D3" s="1754"/>
      <c r="E3" s="1754"/>
      <c r="F3" s="1754"/>
      <c r="G3" s="1754"/>
      <c r="H3" s="1754"/>
      <c r="I3" s="1754"/>
      <c r="J3" s="1754"/>
      <c r="K3" s="1755"/>
      <c r="L3" s="1756" t="s">
        <v>472</v>
      </c>
      <c r="M3" s="1757" t="s">
        <v>134</v>
      </c>
      <c r="N3" s="1758"/>
      <c r="O3" s="1758"/>
      <c r="P3" s="1758"/>
      <c r="Q3" s="1758"/>
      <c r="R3" s="1758"/>
      <c r="S3" s="1758"/>
      <c r="T3" s="1758"/>
      <c r="U3" s="1758"/>
      <c r="V3" s="1759"/>
    </row>
    <row r="4" spans="1:22" ht="27" customHeight="1">
      <c r="A4" s="1760"/>
      <c r="B4" s="1761" t="s">
        <v>473</v>
      </c>
      <c r="C4" s="1762"/>
      <c r="D4" s="1763"/>
      <c r="E4" s="1761" t="s">
        <v>474</v>
      </c>
      <c r="F4" s="1763"/>
      <c r="G4" s="1761" t="s">
        <v>475</v>
      </c>
      <c r="H4" s="1763"/>
      <c r="I4" s="1761" t="s">
        <v>476</v>
      </c>
      <c r="J4" s="1762"/>
      <c r="K4" s="1763"/>
      <c r="L4" s="1764"/>
      <c r="M4" s="1765" t="s">
        <v>477</v>
      </c>
      <c r="N4" s="1766"/>
      <c r="O4" s="1767"/>
      <c r="P4" s="1768" t="s">
        <v>478</v>
      </c>
      <c r="Q4" s="1767"/>
      <c r="R4" s="1768" t="s">
        <v>479</v>
      </c>
      <c r="S4" s="1767"/>
      <c r="T4" s="1769" t="s">
        <v>480</v>
      </c>
      <c r="U4" s="1766"/>
      <c r="V4" s="1770"/>
    </row>
    <row r="5" spans="1:22" ht="11.25" customHeight="1">
      <c r="A5" s="1760"/>
      <c r="B5" s="1771" t="s">
        <v>137</v>
      </c>
      <c r="C5" s="1772" t="s">
        <v>481</v>
      </c>
      <c r="D5" s="1773" t="s">
        <v>482</v>
      </c>
      <c r="E5" s="1771" t="s">
        <v>483</v>
      </c>
      <c r="F5" s="1773" t="s">
        <v>484</v>
      </c>
      <c r="G5" s="1771" t="s">
        <v>485</v>
      </c>
      <c r="H5" s="1773" t="s">
        <v>486</v>
      </c>
      <c r="I5" s="1774" t="s">
        <v>487</v>
      </c>
      <c r="J5" s="1775" t="s">
        <v>488</v>
      </c>
      <c r="K5" s="1776" t="s">
        <v>489</v>
      </c>
      <c r="L5" s="1764"/>
      <c r="M5" s="1777" t="s">
        <v>137</v>
      </c>
      <c r="N5" s="1778" t="s">
        <v>490</v>
      </c>
      <c r="O5" s="1779" t="s">
        <v>482</v>
      </c>
      <c r="P5" s="1780" t="s">
        <v>483</v>
      </c>
      <c r="Q5" s="1779" t="s">
        <v>484</v>
      </c>
      <c r="R5" s="1780" t="s">
        <v>485</v>
      </c>
      <c r="S5" s="1779" t="s">
        <v>486</v>
      </c>
      <c r="T5" s="1781" t="s">
        <v>487</v>
      </c>
      <c r="U5" s="1782" t="s">
        <v>488</v>
      </c>
      <c r="V5" s="1783" t="s">
        <v>489</v>
      </c>
    </row>
    <row r="6" spans="1:22" ht="17.25" customHeight="1">
      <c r="A6" s="1784"/>
      <c r="B6" s="1785" t="s">
        <v>491</v>
      </c>
      <c r="C6" s="1786" t="s">
        <v>491</v>
      </c>
      <c r="D6" s="1787" t="s">
        <v>491</v>
      </c>
      <c r="E6" s="1785" t="s">
        <v>491</v>
      </c>
      <c r="F6" s="1787" t="s">
        <v>491</v>
      </c>
      <c r="G6" s="1785" t="s">
        <v>492</v>
      </c>
      <c r="H6" s="1787" t="s">
        <v>492</v>
      </c>
      <c r="I6" s="1785" t="s">
        <v>49</v>
      </c>
      <c r="J6" s="1786" t="s">
        <v>49</v>
      </c>
      <c r="K6" s="1787" t="s">
        <v>49</v>
      </c>
      <c r="L6" s="1788"/>
      <c r="M6" s="1785" t="s">
        <v>491</v>
      </c>
      <c r="N6" s="1786" t="s">
        <v>491</v>
      </c>
      <c r="O6" s="1789" t="s">
        <v>491</v>
      </c>
      <c r="P6" s="1790" t="s">
        <v>491</v>
      </c>
      <c r="Q6" s="1789" t="s">
        <v>491</v>
      </c>
      <c r="R6" s="1790" t="s">
        <v>492</v>
      </c>
      <c r="S6" s="1789" t="s">
        <v>492</v>
      </c>
      <c r="T6" s="1790" t="s">
        <v>49</v>
      </c>
      <c r="U6" s="1786" t="s">
        <v>49</v>
      </c>
      <c r="V6" s="1787" t="s">
        <v>49</v>
      </c>
    </row>
    <row r="7" spans="1:22" ht="17.25" customHeight="1">
      <c r="A7" s="1791">
        <v>44</v>
      </c>
      <c r="B7" s="1792">
        <v>148788</v>
      </c>
      <c r="C7" s="1793">
        <v>108238</v>
      </c>
      <c r="D7" s="1794">
        <v>102853</v>
      </c>
      <c r="E7" s="1792">
        <v>521</v>
      </c>
      <c r="F7" s="1794">
        <v>407</v>
      </c>
      <c r="G7" s="1792">
        <v>420</v>
      </c>
      <c r="H7" s="1794">
        <v>328</v>
      </c>
      <c r="I7" s="1795">
        <v>72.7</v>
      </c>
      <c r="J7" s="1796">
        <v>69.099999999999994</v>
      </c>
      <c r="K7" s="1797">
        <v>78.099999999999994</v>
      </c>
      <c r="L7" s="1798">
        <v>44</v>
      </c>
      <c r="M7" s="1792">
        <v>23540</v>
      </c>
      <c r="N7" s="1799" t="s">
        <v>493</v>
      </c>
      <c r="O7" s="1800">
        <v>18627</v>
      </c>
      <c r="P7" s="1801">
        <v>88</v>
      </c>
      <c r="Q7" s="1800">
        <v>64</v>
      </c>
      <c r="R7" s="1801">
        <v>241</v>
      </c>
      <c r="S7" s="1800">
        <v>177</v>
      </c>
      <c r="T7" s="1802" t="s">
        <v>493</v>
      </c>
      <c r="U7" s="1796">
        <v>79.099999999999994</v>
      </c>
      <c r="V7" s="1797">
        <v>73.5</v>
      </c>
    </row>
    <row r="8" spans="1:22" ht="17.25" customHeight="1">
      <c r="A8" s="1803">
        <v>45</v>
      </c>
      <c r="B8" s="1804">
        <v>162694</v>
      </c>
      <c r="C8" s="1805">
        <v>119738</v>
      </c>
      <c r="D8" s="1806">
        <v>113764</v>
      </c>
      <c r="E8" s="1804">
        <v>556</v>
      </c>
      <c r="F8" s="1806">
        <v>446</v>
      </c>
      <c r="G8" s="1804">
        <v>436</v>
      </c>
      <c r="H8" s="1806">
        <v>350</v>
      </c>
      <c r="I8" s="1807">
        <v>73.599999999999994</v>
      </c>
      <c r="J8" s="1808">
        <v>69.900000000000006</v>
      </c>
      <c r="K8" s="1809">
        <v>80.2</v>
      </c>
      <c r="L8" s="1810">
        <v>45</v>
      </c>
      <c r="M8" s="1804">
        <v>24758</v>
      </c>
      <c r="N8" s="1811" t="s">
        <v>493</v>
      </c>
      <c r="O8" s="1812">
        <v>19648</v>
      </c>
      <c r="P8" s="1813">
        <v>112</v>
      </c>
      <c r="Q8" s="1812">
        <v>68</v>
      </c>
      <c r="R8" s="1813">
        <v>316</v>
      </c>
      <c r="S8" s="1812">
        <v>191</v>
      </c>
      <c r="T8" s="1814" t="s">
        <v>493</v>
      </c>
      <c r="U8" s="1808">
        <v>79.400000000000006</v>
      </c>
      <c r="V8" s="1809">
        <v>60.4</v>
      </c>
    </row>
    <row r="9" spans="1:22" ht="17.25" customHeight="1">
      <c r="A9" s="1803">
        <v>46</v>
      </c>
      <c r="B9" s="1804">
        <v>180667</v>
      </c>
      <c r="C9" s="1805">
        <v>126832</v>
      </c>
      <c r="D9" s="1806">
        <v>120351</v>
      </c>
      <c r="E9" s="1804">
        <v>604</v>
      </c>
      <c r="F9" s="1806">
        <v>495</v>
      </c>
      <c r="G9" s="1804">
        <v>457</v>
      </c>
      <c r="H9" s="1806">
        <v>375</v>
      </c>
      <c r="I9" s="1807">
        <v>70.2</v>
      </c>
      <c r="J9" s="1808">
        <v>66.599999999999994</v>
      </c>
      <c r="K9" s="1809">
        <v>82</v>
      </c>
      <c r="L9" s="1810">
        <v>46</v>
      </c>
      <c r="M9" s="1804">
        <v>24650</v>
      </c>
      <c r="N9" s="1811" t="s">
        <v>493</v>
      </c>
      <c r="O9" s="1812">
        <v>19479</v>
      </c>
      <c r="P9" s="1813">
        <v>96</v>
      </c>
      <c r="Q9" s="1812">
        <v>67</v>
      </c>
      <c r="R9" s="1813">
        <v>278</v>
      </c>
      <c r="S9" s="1812">
        <v>195</v>
      </c>
      <c r="T9" s="1814" t="s">
        <v>493</v>
      </c>
      <c r="U9" s="1808">
        <v>79</v>
      </c>
      <c r="V9" s="1809">
        <v>70.3</v>
      </c>
    </row>
    <row r="10" spans="1:22" ht="17.25" customHeight="1">
      <c r="A10" s="1803">
        <v>47</v>
      </c>
      <c r="B10" s="1804">
        <v>184076</v>
      </c>
      <c r="C10" s="1805">
        <v>137363</v>
      </c>
      <c r="D10" s="1806">
        <v>129560</v>
      </c>
      <c r="E10" s="1804">
        <v>640</v>
      </c>
      <c r="F10" s="1806">
        <v>504</v>
      </c>
      <c r="G10" s="1804">
        <v>469</v>
      </c>
      <c r="H10" s="1806">
        <v>370</v>
      </c>
      <c r="I10" s="1807">
        <v>74.599999999999994</v>
      </c>
      <c r="J10" s="1808">
        <v>70.400000000000006</v>
      </c>
      <c r="K10" s="1809">
        <v>78.8</v>
      </c>
      <c r="L10" s="1810">
        <v>47</v>
      </c>
      <c r="M10" s="1804">
        <v>25618</v>
      </c>
      <c r="N10" s="1811" t="s">
        <v>493</v>
      </c>
      <c r="O10" s="1812">
        <v>20631</v>
      </c>
      <c r="P10" s="1813">
        <v>96</v>
      </c>
      <c r="Q10" s="1812">
        <v>70</v>
      </c>
      <c r="R10" s="1813">
        <v>286</v>
      </c>
      <c r="S10" s="1812">
        <v>208</v>
      </c>
      <c r="T10" s="1814" t="s">
        <v>493</v>
      </c>
      <c r="U10" s="1808">
        <v>80.5</v>
      </c>
      <c r="V10" s="1809">
        <v>72.900000000000006</v>
      </c>
    </row>
    <row r="11" spans="1:22" ht="17.25" customHeight="1">
      <c r="A11" s="1815">
        <v>48</v>
      </c>
      <c r="B11" s="1816">
        <v>200119</v>
      </c>
      <c r="C11" s="1817">
        <v>149270</v>
      </c>
      <c r="D11" s="1818">
        <v>140660</v>
      </c>
      <c r="E11" s="1816">
        <v>687</v>
      </c>
      <c r="F11" s="1818">
        <v>548</v>
      </c>
      <c r="G11" s="1816">
        <v>488</v>
      </c>
      <c r="H11" s="1818">
        <v>389</v>
      </c>
      <c r="I11" s="1819">
        <v>74.599999999999994</v>
      </c>
      <c r="J11" s="1820">
        <v>70.3</v>
      </c>
      <c r="K11" s="1821">
        <v>79.8</v>
      </c>
      <c r="L11" s="1822">
        <v>48</v>
      </c>
      <c r="M11" s="1816">
        <v>26278</v>
      </c>
      <c r="N11" s="1823" t="s">
        <v>493</v>
      </c>
      <c r="O11" s="1824">
        <v>20712</v>
      </c>
      <c r="P11" s="1825">
        <v>103</v>
      </c>
      <c r="Q11" s="1824">
        <v>72</v>
      </c>
      <c r="R11" s="1825">
        <v>311</v>
      </c>
      <c r="S11" s="1824">
        <v>218</v>
      </c>
      <c r="T11" s="1826" t="s">
        <v>493</v>
      </c>
      <c r="U11" s="1820">
        <v>78.8</v>
      </c>
      <c r="V11" s="1821">
        <v>70</v>
      </c>
    </row>
    <row r="12" spans="1:22" ht="17.25" customHeight="1">
      <c r="A12" s="1791">
        <v>49</v>
      </c>
      <c r="B12" s="1792">
        <v>203617</v>
      </c>
      <c r="C12" s="1793">
        <v>148678</v>
      </c>
      <c r="D12" s="1794">
        <v>143095</v>
      </c>
      <c r="E12" s="1792">
        <v>706</v>
      </c>
      <c r="F12" s="1794">
        <v>558</v>
      </c>
      <c r="G12" s="1792">
        <v>488</v>
      </c>
      <c r="H12" s="1794">
        <v>386</v>
      </c>
      <c r="I12" s="1795">
        <v>73</v>
      </c>
      <c r="J12" s="1796">
        <v>70.3</v>
      </c>
      <c r="K12" s="1797">
        <v>79</v>
      </c>
      <c r="L12" s="1798">
        <v>49</v>
      </c>
      <c r="M12" s="1792">
        <v>26666</v>
      </c>
      <c r="N12" s="1799" t="s">
        <v>493</v>
      </c>
      <c r="O12" s="1800">
        <v>20723</v>
      </c>
      <c r="P12" s="1801">
        <v>107</v>
      </c>
      <c r="Q12" s="1800">
        <v>73</v>
      </c>
      <c r="R12" s="1801">
        <v>341</v>
      </c>
      <c r="S12" s="1800">
        <v>232</v>
      </c>
      <c r="T12" s="1802" t="s">
        <v>493</v>
      </c>
      <c r="U12" s="1796">
        <v>77.7</v>
      </c>
      <c r="V12" s="1797">
        <v>68.2</v>
      </c>
    </row>
    <row r="13" spans="1:22" ht="17.25" customHeight="1">
      <c r="A13" s="1803">
        <v>50</v>
      </c>
      <c r="B13" s="1804">
        <v>211849</v>
      </c>
      <c r="C13" s="1805">
        <v>153849</v>
      </c>
      <c r="D13" s="1806">
        <v>148565</v>
      </c>
      <c r="E13" s="1804">
        <v>747</v>
      </c>
      <c r="F13" s="1806">
        <v>580</v>
      </c>
      <c r="G13" s="1804">
        <v>501</v>
      </c>
      <c r="H13" s="1806">
        <v>389</v>
      </c>
      <c r="I13" s="1807">
        <v>72.599999999999994</v>
      </c>
      <c r="J13" s="1808">
        <v>70.099999999999994</v>
      </c>
      <c r="K13" s="1809">
        <v>77.599999999999994</v>
      </c>
      <c r="L13" s="1810">
        <v>50</v>
      </c>
      <c r="M13" s="1804">
        <v>27780</v>
      </c>
      <c r="N13" s="1811" t="s">
        <v>493</v>
      </c>
      <c r="O13" s="1812">
        <v>20975</v>
      </c>
      <c r="P13" s="1813">
        <v>100</v>
      </c>
      <c r="Q13" s="1812">
        <v>76</v>
      </c>
      <c r="R13" s="1813">
        <v>330</v>
      </c>
      <c r="S13" s="1812">
        <v>250</v>
      </c>
      <c r="T13" s="1814" t="s">
        <v>493</v>
      </c>
      <c r="U13" s="1808">
        <v>75.5</v>
      </c>
      <c r="V13" s="1809">
        <v>75.8</v>
      </c>
    </row>
    <row r="14" spans="1:22" ht="17.25" customHeight="1">
      <c r="A14" s="1803">
        <v>51</v>
      </c>
      <c r="B14" s="1804">
        <v>215799</v>
      </c>
      <c r="C14" s="1805">
        <v>159411</v>
      </c>
      <c r="D14" s="1806">
        <v>151341</v>
      </c>
      <c r="E14" s="1804">
        <v>774</v>
      </c>
      <c r="F14" s="1806">
        <v>591</v>
      </c>
      <c r="G14" s="1804">
        <v>510</v>
      </c>
      <c r="H14" s="1806">
        <v>390</v>
      </c>
      <c r="I14" s="1807">
        <v>73.900000000000006</v>
      </c>
      <c r="J14" s="1808">
        <v>70.099999999999994</v>
      </c>
      <c r="K14" s="1809">
        <v>76.400000000000006</v>
      </c>
      <c r="L14" s="1810">
        <v>51</v>
      </c>
      <c r="M14" s="1804">
        <v>27632</v>
      </c>
      <c r="N14" s="1811" t="s">
        <v>493</v>
      </c>
      <c r="O14" s="1812">
        <v>21537</v>
      </c>
      <c r="P14" s="1813">
        <v>96</v>
      </c>
      <c r="Q14" s="1812">
        <v>76</v>
      </c>
      <c r="R14" s="1813">
        <v>321</v>
      </c>
      <c r="S14" s="1812">
        <v>252</v>
      </c>
      <c r="T14" s="1814" t="s">
        <v>493</v>
      </c>
      <c r="U14" s="1808">
        <v>77.900000000000006</v>
      </c>
      <c r="V14" s="1809">
        <v>78.599999999999994</v>
      </c>
    </row>
    <row r="15" spans="1:22" ht="17.25" customHeight="1">
      <c r="A15" s="1803">
        <v>52</v>
      </c>
      <c r="B15" s="1804">
        <v>225253</v>
      </c>
      <c r="C15" s="1805">
        <v>166916</v>
      </c>
      <c r="D15" s="1806">
        <v>159291</v>
      </c>
      <c r="E15" s="1804">
        <v>806</v>
      </c>
      <c r="F15" s="1806">
        <v>617</v>
      </c>
      <c r="G15" s="1804">
        <v>516</v>
      </c>
      <c r="H15" s="1806">
        <v>395</v>
      </c>
      <c r="I15" s="1807">
        <v>74.099999999999994</v>
      </c>
      <c r="J15" s="1808">
        <v>70.7</v>
      </c>
      <c r="K15" s="1809">
        <v>76.599999999999994</v>
      </c>
      <c r="L15" s="1810">
        <v>52</v>
      </c>
      <c r="M15" s="1804">
        <v>26260</v>
      </c>
      <c r="N15" s="1811" t="s">
        <v>493</v>
      </c>
      <c r="O15" s="1812">
        <v>19517</v>
      </c>
      <c r="P15" s="1813">
        <v>95</v>
      </c>
      <c r="Q15" s="1812">
        <v>72</v>
      </c>
      <c r="R15" s="1813">
        <v>326</v>
      </c>
      <c r="S15" s="1812">
        <v>248</v>
      </c>
      <c r="T15" s="1814" t="s">
        <v>493</v>
      </c>
      <c r="U15" s="1808">
        <v>74.3</v>
      </c>
      <c r="V15" s="1809">
        <v>76</v>
      </c>
    </row>
    <row r="16" spans="1:22" ht="17.25" customHeight="1">
      <c r="A16" s="1815">
        <v>53</v>
      </c>
      <c r="B16" s="1816">
        <v>232369</v>
      </c>
      <c r="C16" s="1817">
        <v>174875</v>
      </c>
      <c r="D16" s="1818">
        <v>167595</v>
      </c>
      <c r="E16" s="1816">
        <v>827</v>
      </c>
      <c r="F16" s="1818">
        <v>637</v>
      </c>
      <c r="G16" s="1816">
        <v>515</v>
      </c>
      <c r="H16" s="1818">
        <v>397</v>
      </c>
      <c r="I16" s="1819">
        <v>75.3</v>
      </c>
      <c r="J16" s="1820">
        <v>72.099999999999994</v>
      </c>
      <c r="K16" s="1821">
        <v>77</v>
      </c>
      <c r="L16" s="1822">
        <v>53</v>
      </c>
      <c r="M16" s="1816">
        <v>24508</v>
      </c>
      <c r="N16" s="1823" t="s">
        <v>493</v>
      </c>
      <c r="O16" s="1824">
        <v>19099</v>
      </c>
      <c r="P16" s="1825">
        <v>89</v>
      </c>
      <c r="Q16" s="1824">
        <v>67</v>
      </c>
      <c r="R16" s="1825">
        <v>358</v>
      </c>
      <c r="S16" s="1824">
        <v>271</v>
      </c>
      <c r="T16" s="1826" t="s">
        <v>493</v>
      </c>
      <c r="U16" s="1820">
        <v>77.900000000000006</v>
      </c>
      <c r="V16" s="1821">
        <v>75.5</v>
      </c>
    </row>
    <row r="17" spans="1:22" ht="17.25" customHeight="1">
      <c r="A17" s="1791">
        <v>54</v>
      </c>
      <c r="B17" s="1792">
        <v>228957</v>
      </c>
      <c r="C17" s="1793">
        <v>172562</v>
      </c>
      <c r="D17" s="1794">
        <v>165033</v>
      </c>
      <c r="E17" s="1792">
        <v>819</v>
      </c>
      <c r="F17" s="1794">
        <v>626</v>
      </c>
      <c r="G17" s="1792">
        <v>502</v>
      </c>
      <c r="H17" s="1794">
        <v>384</v>
      </c>
      <c r="I17" s="1795">
        <v>75.400000000000006</v>
      </c>
      <c r="J17" s="1796">
        <v>72.099999999999994</v>
      </c>
      <c r="K17" s="1797">
        <v>76.400000000000006</v>
      </c>
      <c r="L17" s="1798">
        <v>54</v>
      </c>
      <c r="M17" s="1792">
        <v>25209</v>
      </c>
      <c r="N17" s="1799" t="s">
        <v>493</v>
      </c>
      <c r="O17" s="1800">
        <v>19119</v>
      </c>
      <c r="P17" s="1801">
        <v>92</v>
      </c>
      <c r="Q17" s="1800">
        <v>69</v>
      </c>
      <c r="R17" s="1801">
        <v>333</v>
      </c>
      <c r="S17" s="1800">
        <v>248</v>
      </c>
      <c r="T17" s="1802" t="s">
        <v>493</v>
      </c>
      <c r="U17" s="1796">
        <v>75.8</v>
      </c>
      <c r="V17" s="1797">
        <v>74.7</v>
      </c>
    </row>
    <row r="18" spans="1:22" ht="17.25" customHeight="1">
      <c r="A18" s="1803">
        <v>55</v>
      </c>
      <c r="B18" s="1804">
        <v>228595</v>
      </c>
      <c r="C18" s="1805">
        <v>173580</v>
      </c>
      <c r="D18" s="1806">
        <v>166567</v>
      </c>
      <c r="E18" s="1804">
        <v>825</v>
      </c>
      <c r="F18" s="1806">
        <v>626</v>
      </c>
      <c r="G18" s="1804">
        <v>500</v>
      </c>
      <c r="H18" s="1806">
        <v>379</v>
      </c>
      <c r="I18" s="1807">
        <v>75.900000000000006</v>
      </c>
      <c r="J18" s="1808">
        <v>72.900000000000006</v>
      </c>
      <c r="K18" s="1809">
        <v>75.900000000000006</v>
      </c>
      <c r="L18" s="1810">
        <v>55</v>
      </c>
      <c r="M18" s="1804">
        <v>25629</v>
      </c>
      <c r="N18" s="1811" t="s">
        <v>493</v>
      </c>
      <c r="O18" s="1812">
        <v>19123</v>
      </c>
      <c r="P18" s="1813">
        <v>99</v>
      </c>
      <c r="Q18" s="1812">
        <v>70</v>
      </c>
      <c r="R18" s="1813">
        <v>356</v>
      </c>
      <c r="S18" s="1812">
        <v>252</v>
      </c>
      <c r="T18" s="1814" t="s">
        <v>493</v>
      </c>
      <c r="U18" s="1808">
        <v>74.599999999999994</v>
      </c>
      <c r="V18" s="1809">
        <v>70.900000000000006</v>
      </c>
    </row>
    <row r="19" spans="1:22" ht="16.5" customHeight="1">
      <c r="A19" s="1803">
        <v>56</v>
      </c>
      <c r="B19" s="1804">
        <v>238868</v>
      </c>
      <c r="C19" s="1805">
        <v>180102</v>
      </c>
      <c r="D19" s="1806">
        <v>172989</v>
      </c>
      <c r="E19" s="1804">
        <v>839</v>
      </c>
      <c r="F19" s="1806">
        <v>654</v>
      </c>
      <c r="G19" s="1804">
        <v>504</v>
      </c>
      <c r="H19" s="1806">
        <v>393</v>
      </c>
      <c r="I19" s="1807">
        <v>75.400000000000006</v>
      </c>
      <c r="J19" s="1808">
        <v>72.400000000000006</v>
      </c>
      <c r="K19" s="1809">
        <v>77.900000000000006</v>
      </c>
      <c r="L19" s="1810">
        <v>56</v>
      </c>
      <c r="M19" s="1804">
        <v>25674</v>
      </c>
      <c r="N19" s="1811" t="s">
        <v>493</v>
      </c>
      <c r="O19" s="1812">
        <v>20053</v>
      </c>
      <c r="P19" s="1813">
        <v>104</v>
      </c>
      <c r="Q19" s="1812">
        <v>70</v>
      </c>
      <c r="R19" s="1813">
        <v>371</v>
      </c>
      <c r="S19" s="1812">
        <v>251</v>
      </c>
      <c r="T19" s="1814" t="s">
        <v>493</v>
      </c>
      <c r="U19" s="1808">
        <v>78.099999999999994</v>
      </c>
      <c r="V19" s="1809">
        <v>67.7</v>
      </c>
    </row>
    <row r="20" spans="1:22" ht="16.5" customHeight="1">
      <c r="A20" s="1803">
        <v>57</v>
      </c>
      <c r="B20" s="1804">
        <v>239666</v>
      </c>
      <c r="C20" s="1805">
        <v>181583</v>
      </c>
      <c r="D20" s="1806">
        <v>174148</v>
      </c>
      <c r="E20" s="1804">
        <v>852</v>
      </c>
      <c r="F20" s="1806">
        <v>657</v>
      </c>
      <c r="G20" s="1804">
        <v>506</v>
      </c>
      <c r="H20" s="1806">
        <v>390</v>
      </c>
      <c r="I20" s="1807">
        <v>75.8</v>
      </c>
      <c r="J20" s="1808">
        <v>72.7</v>
      </c>
      <c r="K20" s="1809">
        <v>77.099999999999994</v>
      </c>
      <c r="L20" s="1810">
        <v>57</v>
      </c>
      <c r="M20" s="1804">
        <v>26925</v>
      </c>
      <c r="N20" s="1811" t="s">
        <v>493</v>
      </c>
      <c r="O20" s="1812">
        <v>19458</v>
      </c>
      <c r="P20" s="1813">
        <v>106</v>
      </c>
      <c r="Q20" s="1812">
        <v>74</v>
      </c>
      <c r="R20" s="1813">
        <v>378</v>
      </c>
      <c r="S20" s="1812">
        <v>264</v>
      </c>
      <c r="T20" s="1814" t="s">
        <v>493</v>
      </c>
      <c r="U20" s="1808">
        <v>72.3</v>
      </c>
      <c r="V20" s="1809">
        <v>69.8</v>
      </c>
    </row>
    <row r="21" spans="1:22" ht="16.5" customHeight="1">
      <c r="A21" s="1815">
        <v>58</v>
      </c>
      <c r="B21" s="1816">
        <v>252014</v>
      </c>
      <c r="C21" s="1817">
        <v>191949</v>
      </c>
      <c r="D21" s="1818">
        <v>182598</v>
      </c>
      <c r="E21" s="1816">
        <v>916</v>
      </c>
      <c r="F21" s="1818">
        <v>690</v>
      </c>
      <c r="G21" s="1816">
        <v>539</v>
      </c>
      <c r="H21" s="1818">
        <v>406</v>
      </c>
      <c r="I21" s="1819">
        <v>76.2</v>
      </c>
      <c r="J21" s="1820">
        <v>72.5</v>
      </c>
      <c r="K21" s="1821">
        <v>75.3</v>
      </c>
      <c r="L21" s="1822">
        <v>58</v>
      </c>
      <c r="M21" s="1816">
        <v>30249</v>
      </c>
      <c r="N21" s="1823" t="s">
        <v>493</v>
      </c>
      <c r="O21" s="1824">
        <v>22428</v>
      </c>
      <c r="P21" s="1825">
        <v>114</v>
      </c>
      <c r="Q21" s="1824">
        <v>83</v>
      </c>
      <c r="R21" s="1825">
        <v>408</v>
      </c>
      <c r="S21" s="1824">
        <v>296</v>
      </c>
      <c r="T21" s="1826" t="s">
        <v>493</v>
      </c>
      <c r="U21" s="1820">
        <v>74.099999999999994</v>
      </c>
      <c r="V21" s="1821">
        <v>72.5</v>
      </c>
    </row>
    <row r="22" spans="1:22" ht="16.5" customHeight="1">
      <c r="A22" s="1791">
        <v>59</v>
      </c>
      <c r="B22" s="1792">
        <v>261825</v>
      </c>
      <c r="C22" s="1793">
        <v>202283</v>
      </c>
      <c r="D22" s="1794">
        <v>192689</v>
      </c>
      <c r="E22" s="1792">
        <v>939</v>
      </c>
      <c r="F22" s="1794">
        <v>716</v>
      </c>
      <c r="G22" s="1792">
        <v>547</v>
      </c>
      <c r="H22" s="1794">
        <v>417</v>
      </c>
      <c r="I22" s="1795">
        <v>77.3</v>
      </c>
      <c r="J22" s="1796">
        <v>73.599999999999994</v>
      </c>
      <c r="K22" s="1797">
        <v>76.3</v>
      </c>
      <c r="L22" s="1798">
        <v>59</v>
      </c>
      <c r="M22" s="1792">
        <v>31817</v>
      </c>
      <c r="N22" s="1799" t="s">
        <v>493</v>
      </c>
      <c r="O22" s="1800">
        <v>23600</v>
      </c>
      <c r="P22" s="1801">
        <v>121</v>
      </c>
      <c r="Q22" s="1800">
        <v>87</v>
      </c>
      <c r="R22" s="1801">
        <v>428</v>
      </c>
      <c r="S22" s="1800">
        <v>307</v>
      </c>
      <c r="T22" s="1802" t="s">
        <v>493</v>
      </c>
      <c r="U22" s="1796">
        <v>74.2</v>
      </c>
      <c r="V22" s="1797">
        <v>71.8</v>
      </c>
    </row>
    <row r="23" spans="1:22" ht="16.5" customHeight="1">
      <c r="A23" s="1803">
        <v>60</v>
      </c>
      <c r="B23" s="1804">
        <v>261426</v>
      </c>
      <c r="C23" s="1805">
        <v>201565</v>
      </c>
      <c r="D23" s="1806">
        <v>192459</v>
      </c>
      <c r="E23" s="1804">
        <v>947</v>
      </c>
      <c r="F23" s="1806">
        <v>718</v>
      </c>
      <c r="G23" s="1804">
        <v>543</v>
      </c>
      <c r="H23" s="1806">
        <v>412</v>
      </c>
      <c r="I23" s="1807">
        <v>77.099999999999994</v>
      </c>
      <c r="J23" s="1808">
        <v>73.599999999999994</v>
      </c>
      <c r="K23" s="1809">
        <v>75.8</v>
      </c>
      <c r="L23" s="1810">
        <v>60</v>
      </c>
      <c r="M23" s="1804">
        <v>31352</v>
      </c>
      <c r="N23" s="1811" t="s">
        <v>493</v>
      </c>
      <c r="O23" s="1812">
        <v>23507</v>
      </c>
      <c r="P23" s="1813">
        <v>131</v>
      </c>
      <c r="Q23" s="1812">
        <v>86</v>
      </c>
      <c r="R23" s="1813">
        <v>467</v>
      </c>
      <c r="S23" s="1812">
        <v>306</v>
      </c>
      <c r="T23" s="1814" t="s">
        <v>493</v>
      </c>
      <c r="U23" s="1808">
        <v>75</v>
      </c>
      <c r="V23" s="1809">
        <v>65.400000000000006</v>
      </c>
    </row>
    <row r="24" spans="1:22" ht="16.5" customHeight="1">
      <c r="A24" s="1803">
        <v>61</v>
      </c>
      <c r="B24" s="1804">
        <v>261482</v>
      </c>
      <c r="C24" s="1805">
        <v>203716</v>
      </c>
      <c r="D24" s="1806">
        <v>194597</v>
      </c>
      <c r="E24" s="1804">
        <v>933</v>
      </c>
      <c r="F24" s="1806">
        <v>718</v>
      </c>
      <c r="G24" s="1804">
        <v>531</v>
      </c>
      <c r="H24" s="1806">
        <v>409</v>
      </c>
      <c r="I24" s="1807">
        <v>77.900000000000006</v>
      </c>
      <c r="J24" s="1808">
        <v>74.400000000000006</v>
      </c>
      <c r="K24" s="1809">
        <v>77</v>
      </c>
      <c r="L24" s="1810">
        <v>61</v>
      </c>
      <c r="M24" s="1804">
        <v>33068</v>
      </c>
      <c r="N24" s="1811" t="s">
        <v>493</v>
      </c>
      <c r="O24" s="1812">
        <v>24655</v>
      </c>
      <c r="P24" s="1813">
        <v>126</v>
      </c>
      <c r="Q24" s="1812">
        <v>91</v>
      </c>
      <c r="R24" s="1813">
        <v>440</v>
      </c>
      <c r="S24" s="1812">
        <v>317</v>
      </c>
      <c r="T24" s="1814" t="s">
        <v>493</v>
      </c>
      <c r="U24" s="1808">
        <v>74.599999999999994</v>
      </c>
      <c r="V24" s="1809">
        <v>72.099999999999994</v>
      </c>
    </row>
    <row r="25" spans="1:22" ht="16.5" customHeight="1">
      <c r="A25" s="1803">
        <v>62</v>
      </c>
      <c r="B25" s="1804">
        <v>264962</v>
      </c>
      <c r="C25" s="1805">
        <v>206675</v>
      </c>
      <c r="D25" s="1806">
        <v>198978</v>
      </c>
      <c r="E25" s="1804">
        <v>929</v>
      </c>
      <c r="F25" s="1806">
        <v>725</v>
      </c>
      <c r="G25" s="1804">
        <v>526</v>
      </c>
      <c r="H25" s="1806">
        <v>410</v>
      </c>
      <c r="I25" s="1807">
        <v>78</v>
      </c>
      <c r="J25" s="1808">
        <v>75.099999999999994</v>
      </c>
      <c r="K25" s="1809">
        <v>78</v>
      </c>
      <c r="L25" s="1810">
        <v>62</v>
      </c>
      <c r="M25" s="1804">
        <v>32903</v>
      </c>
      <c r="N25" s="1811" t="s">
        <v>493</v>
      </c>
      <c r="O25" s="1812">
        <v>24930</v>
      </c>
      <c r="P25" s="1813">
        <v>124</v>
      </c>
      <c r="Q25" s="1812">
        <v>90</v>
      </c>
      <c r="R25" s="1813">
        <v>437</v>
      </c>
      <c r="S25" s="1812">
        <v>318</v>
      </c>
      <c r="T25" s="1814" t="s">
        <v>493</v>
      </c>
      <c r="U25" s="1808">
        <v>75.8</v>
      </c>
      <c r="V25" s="1809">
        <v>72.7</v>
      </c>
    </row>
    <row r="26" spans="1:22" ht="16.5" customHeight="1">
      <c r="A26" s="1815">
        <v>63</v>
      </c>
      <c r="B26" s="1816">
        <v>266199</v>
      </c>
      <c r="C26" s="1817">
        <v>208397</v>
      </c>
      <c r="D26" s="1818">
        <v>200815</v>
      </c>
      <c r="E26" s="1816">
        <v>943</v>
      </c>
      <c r="F26" s="1818">
        <v>724</v>
      </c>
      <c r="G26" s="1816">
        <v>530</v>
      </c>
      <c r="H26" s="1818">
        <v>407</v>
      </c>
      <c r="I26" s="1819">
        <v>78.3</v>
      </c>
      <c r="J26" s="1820">
        <v>75.400000000000006</v>
      </c>
      <c r="K26" s="1821">
        <v>76.8</v>
      </c>
      <c r="L26" s="1822">
        <v>63</v>
      </c>
      <c r="M26" s="1816">
        <v>34720</v>
      </c>
      <c r="N26" s="1823" t="s">
        <v>493</v>
      </c>
      <c r="O26" s="1824">
        <v>25994</v>
      </c>
      <c r="P26" s="1825">
        <v>134</v>
      </c>
      <c r="Q26" s="1824">
        <v>95</v>
      </c>
      <c r="R26" s="1825">
        <v>473</v>
      </c>
      <c r="S26" s="1824">
        <v>335</v>
      </c>
      <c r="T26" s="1826" t="s">
        <v>493</v>
      </c>
      <c r="U26" s="1820">
        <v>74.900000000000006</v>
      </c>
      <c r="V26" s="1821">
        <v>70.7</v>
      </c>
    </row>
    <row r="27" spans="1:22" ht="16.5" customHeight="1">
      <c r="A27" s="1791" t="s">
        <v>216</v>
      </c>
      <c r="B27" s="1792">
        <v>271931</v>
      </c>
      <c r="C27" s="1793">
        <v>214185</v>
      </c>
      <c r="D27" s="1794">
        <v>205931</v>
      </c>
      <c r="E27" s="1792">
        <v>957</v>
      </c>
      <c r="F27" s="1794">
        <v>747</v>
      </c>
      <c r="G27" s="1792">
        <v>529</v>
      </c>
      <c r="H27" s="1794">
        <v>413</v>
      </c>
      <c r="I27" s="1795">
        <v>78.8</v>
      </c>
      <c r="J27" s="1796">
        <v>75.7</v>
      </c>
      <c r="K27" s="1797">
        <v>78.099999999999994</v>
      </c>
      <c r="L27" s="1798" t="s">
        <v>216</v>
      </c>
      <c r="M27" s="1792">
        <v>33091</v>
      </c>
      <c r="N27" s="1799" t="s">
        <v>493</v>
      </c>
      <c r="O27" s="1800">
        <v>25673</v>
      </c>
      <c r="P27" s="1801">
        <v>133</v>
      </c>
      <c r="Q27" s="1800">
        <v>91</v>
      </c>
      <c r="R27" s="1801">
        <v>483</v>
      </c>
      <c r="S27" s="1800">
        <v>330</v>
      </c>
      <c r="T27" s="1802" t="s">
        <v>493</v>
      </c>
      <c r="U27" s="1796">
        <v>77.599999999999994</v>
      </c>
      <c r="V27" s="1797">
        <v>68.3</v>
      </c>
    </row>
    <row r="28" spans="1:22" ht="16.5" customHeight="1">
      <c r="A28" s="1803">
        <v>2</v>
      </c>
      <c r="B28" s="1804">
        <v>281146</v>
      </c>
      <c r="C28" s="1805">
        <v>225156</v>
      </c>
      <c r="D28" s="1806">
        <v>216600</v>
      </c>
      <c r="E28" s="1804">
        <v>1004</v>
      </c>
      <c r="F28" s="1806">
        <v>772</v>
      </c>
      <c r="G28" s="1804">
        <v>551</v>
      </c>
      <c r="H28" s="1806">
        <v>424</v>
      </c>
      <c r="I28" s="1807">
        <v>80.099999999999994</v>
      </c>
      <c r="J28" s="1808">
        <v>77</v>
      </c>
      <c r="K28" s="1809">
        <v>76.900000000000006</v>
      </c>
      <c r="L28" s="1810">
        <v>2</v>
      </c>
      <c r="M28" s="1804">
        <v>33728</v>
      </c>
      <c r="N28" s="1811" t="s">
        <v>493</v>
      </c>
      <c r="O28" s="1812">
        <v>25905</v>
      </c>
      <c r="P28" s="1813">
        <v>140</v>
      </c>
      <c r="Q28" s="1812">
        <v>92</v>
      </c>
      <c r="R28" s="1813">
        <v>519</v>
      </c>
      <c r="S28" s="1812">
        <v>343</v>
      </c>
      <c r="T28" s="1814" t="s">
        <v>493</v>
      </c>
      <c r="U28" s="1808">
        <v>76.8</v>
      </c>
      <c r="V28" s="1809">
        <v>66.099999999999994</v>
      </c>
    </row>
    <row r="29" spans="1:22" ht="16.5" customHeight="1">
      <c r="A29" s="1803">
        <v>3</v>
      </c>
      <c r="B29" s="1804">
        <v>281055</v>
      </c>
      <c r="C29" s="1805">
        <v>228514</v>
      </c>
      <c r="D29" s="1806">
        <v>218193</v>
      </c>
      <c r="E29" s="1804">
        <v>982</v>
      </c>
      <c r="F29" s="1806">
        <v>770</v>
      </c>
      <c r="G29" s="1804">
        <v>536</v>
      </c>
      <c r="H29" s="1806">
        <v>420</v>
      </c>
      <c r="I29" s="1807">
        <v>81.3</v>
      </c>
      <c r="J29" s="1808">
        <v>77.599999999999994</v>
      </c>
      <c r="K29" s="1809">
        <v>78.400000000000006</v>
      </c>
      <c r="L29" s="1810">
        <v>3</v>
      </c>
      <c r="M29" s="1804">
        <v>35683</v>
      </c>
      <c r="N29" s="1811" t="s">
        <v>493</v>
      </c>
      <c r="O29" s="1812">
        <v>27836</v>
      </c>
      <c r="P29" s="1813">
        <v>148</v>
      </c>
      <c r="Q29" s="1812">
        <v>97</v>
      </c>
      <c r="R29" s="1813">
        <v>551</v>
      </c>
      <c r="S29" s="1812">
        <v>364</v>
      </c>
      <c r="T29" s="1814" t="s">
        <v>493</v>
      </c>
      <c r="U29" s="1808">
        <v>78</v>
      </c>
      <c r="V29" s="1809">
        <v>66</v>
      </c>
    </row>
    <row r="30" spans="1:22" ht="16.5" customHeight="1">
      <c r="A30" s="1803">
        <v>4</v>
      </c>
      <c r="B30" s="1804">
        <v>283400</v>
      </c>
      <c r="C30" s="1805">
        <v>232663</v>
      </c>
      <c r="D30" s="1806">
        <v>221712</v>
      </c>
      <c r="E30" s="1804">
        <v>1006</v>
      </c>
      <c r="F30" s="1806">
        <v>778</v>
      </c>
      <c r="G30" s="1804">
        <v>547</v>
      </c>
      <c r="H30" s="1806">
        <v>423</v>
      </c>
      <c r="I30" s="1807">
        <v>82.1</v>
      </c>
      <c r="J30" s="1808">
        <v>78.2</v>
      </c>
      <c r="K30" s="1809">
        <v>77.3</v>
      </c>
      <c r="L30" s="1810">
        <v>4</v>
      </c>
      <c r="M30" s="1804">
        <v>37656</v>
      </c>
      <c r="N30" s="1811" t="s">
        <v>493</v>
      </c>
      <c r="O30" s="1812">
        <v>29084</v>
      </c>
      <c r="P30" s="1813">
        <v>152</v>
      </c>
      <c r="Q30" s="1812">
        <v>103</v>
      </c>
      <c r="R30" s="1813">
        <v>566</v>
      </c>
      <c r="S30" s="1812">
        <v>384</v>
      </c>
      <c r="T30" s="1814" t="s">
        <v>493</v>
      </c>
      <c r="U30" s="1808">
        <v>77.2</v>
      </c>
      <c r="V30" s="1809">
        <v>67.900000000000006</v>
      </c>
    </row>
    <row r="31" spans="1:22" ht="16.5" customHeight="1">
      <c r="A31" s="1815">
        <v>5</v>
      </c>
      <c r="B31" s="1816">
        <v>281066</v>
      </c>
      <c r="C31" s="1817">
        <v>231474</v>
      </c>
      <c r="D31" s="1818">
        <v>220192</v>
      </c>
      <c r="E31" s="1816">
        <v>980</v>
      </c>
      <c r="F31" s="1818">
        <v>772</v>
      </c>
      <c r="G31" s="1816">
        <v>527</v>
      </c>
      <c r="H31" s="1818">
        <v>416</v>
      </c>
      <c r="I31" s="1819">
        <v>82.4</v>
      </c>
      <c r="J31" s="1820">
        <v>78.3</v>
      </c>
      <c r="K31" s="1821">
        <v>78.8</v>
      </c>
      <c r="L31" s="1822">
        <v>5</v>
      </c>
      <c r="M31" s="1816">
        <v>36869</v>
      </c>
      <c r="N31" s="1823" t="s">
        <v>493</v>
      </c>
      <c r="O31" s="1824">
        <v>28602</v>
      </c>
      <c r="P31" s="1825">
        <v>150</v>
      </c>
      <c r="Q31" s="1824">
        <v>101</v>
      </c>
      <c r="R31" s="1825">
        <v>555</v>
      </c>
      <c r="S31" s="1824">
        <v>374</v>
      </c>
      <c r="T31" s="1826" t="s">
        <v>493</v>
      </c>
      <c r="U31" s="1820">
        <v>77.599999999999994</v>
      </c>
      <c r="V31" s="1821">
        <v>67.3</v>
      </c>
    </row>
    <row r="32" spans="1:22" ht="16.5" customHeight="1">
      <c r="A32" s="1791">
        <v>6</v>
      </c>
      <c r="B32" s="1792">
        <v>291444</v>
      </c>
      <c r="C32" s="1793">
        <v>242570</v>
      </c>
      <c r="D32" s="1794">
        <v>230135</v>
      </c>
      <c r="E32" s="1792">
        <v>1039</v>
      </c>
      <c r="F32" s="1794">
        <v>801</v>
      </c>
      <c r="G32" s="1792">
        <v>551</v>
      </c>
      <c r="H32" s="1794">
        <v>427</v>
      </c>
      <c r="I32" s="1827">
        <v>83.3</v>
      </c>
      <c r="J32" s="1828">
        <v>79</v>
      </c>
      <c r="K32" s="1797">
        <v>77.099999999999994</v>
      </c>
      <c r="L32" s="1798">
        <v>6</v>
      </c>
      <c r="M32" s="1792">
        <v>37682</v>
      </c>
      <c r="N32" s="1799" t="s">
        <v>493</v>
      </c>
      <c r="O32" s="1800">
        <v>29781</v>
      </c>
      <c r="P32" s="1801">
        <v>154</v>
      </c>
      <c r="Q32" s="1800">
        <v>103</v>
      </c>
      <c r="R32" s="1801">
        <v>574</v>
      </c>
      <c r="S32" s="1800">
        <v>385</v>
      </c>
      <c r="T32" s="1829" t="s">
        <v>493</v>
      </c>
      <c r="U32" s="1796">
        <v>79</v>
      </c>
      <c r="V32" s="1797">
        <v>67.099999999999994</v>
      </c>
    </row>
    <row r="33" spans="1:22" ht="16.5" customHeight="1">
      <c r="A33" s="1803">
        <v>7</v>
      </c>
      <c r="B33" s="1804">
        <v>294614</v>
      </c>
      <c r="C33" s="1805">
        <v>244630</v>
      </c>
      <c r="D33" s="1806">
        <v>231596</v>
      </c>
      <c r="E33" s="1804">
        <v>1047</v>
      </c>
      <c r="F33" s="1806">
        <v>807</v>
      </c>
      <c r="G33" s="1804">
        <v>556</v>
      </c>
      <c r="H33" s="1806">
        <v>428</v>
      </c>
      <c r="I33" s="1830">
        <v>83.1</v>
      </c>
      <c r="J33" s="1831">
        <v>78.7</v>
      </c>
      <c r="K33" s="1809">
        <v>77</v>
      </c>
      <c r="L33" s="1810">
        <v>7</v>
      </c>
      <c r="M33" s="1804">
        <v>38020</v>
      </c>
      <c r="N33" s="1811" t="s">
        <v>493</v>
      </c>
      <c r="O33" s="1812">
        <v>29834</v>
      </c>
      <c r="P33" s="1813">
        <v>156</v>
      </c>
      <c r="Q33" s="1812">
        <v>104</v>
      </c>
      <c r="R33" s="1813">
        <v>584</v>
      </c>
      <c r="S33" s="1812">
        <v>389</v>
      </c>
      <c r="T33" s="1832" t="s">
        <v>493</v>
      </c>
      <c r="U33" s="1808">
        <v>78.5</v>
      </c>
      <c r="V33" s="1809">
        <v>66.599999999999994</v>
      </c>
    </row>
    <row r="34" spans="1:22" ht="16.5" customHeight="1">
      <c r="A34" s="1803">
        <v>8</v>
      </c>
      <c r="B34" s="1804">
        <v>297314</v>
      </c>
      <c r="C34" s="1805">
        <v>248187</v>
      </c>
      <c r="D34" s="1806">
        <v>236228</v>
      </c>
      <c r="E34" s="1804">
        <v>1034</v>
      </c>
      <c r="F34" s="1806">
        <v>817</v>
      </c>
      <c r="G34" s="1804">
        <v>546</v>
      </c>
      <c r="H34" s="1806">
        <v>432</v>
      </c>
      <c r="I34" s="1830">
        <v>83.5</v>
      </c>
      <c r="J34" s="1831">
        <v>79.5</v>
      </c>
      <c r="K34" s="1809">
        <v>79</v>
      </c>
      <c r="L34" s="1810">
        <v>8</v>
      </c>
      <c r="M34" s="1804">
        <v>38529</v>
      </c>
      <c r="N34" s="1811" t="s">
        <v>493</v>
      </c>
      <c r="O34" s="1812">
        <v>30240</v>
      </c>
      <c r="P34" s="1813">
        <v>156</v>
      </c>
      <c r="Q34" s="1812">
        <v>106</v>
      </c>
      <c r="R34" s="1813">
        <v>576</v>
      </c>
      <c r="S34" s="1812">
        <v>389</v>
      </c>
      <c r="T34" s="1832" t="s">
        <v>493</v>
      </c>
      <c r="U34" s="1808">
        <v>78.5</v>
      </c>
      <c r="V34" s="1809">
        <v>67.599999999999994</v>
      </c>
    </row>
    <row r="35" spans="1:22" ht="16.5" customHeight="1">
      <c r="A35" s="1803">
        <v>9</v>
      </c>
      <c r="B35" s="1804">
        <v>297598</v>
      </c>
      <c r="C35" s="1805">
        <v>248589</v>
      </c>
      <c r="D35" s="1806">
        <v>236738</v>
      </c>
      <c r="E35" s="1804">
        <v>1027</v>
      </c>
      <c r="F35" s="1806">
        <v>815</v>
      </c>
      <c r="G35" s="1804">
        <v>538</v>
      </c>
      <c r="H35" s="1806">
        <v>428</v>
      </c>
      <c r="I35" s="1830">
        <v>83.6</v>
      </c>
      <c r="J35" s="1831">
        <v>79.599999999999994</v>
      </c>
      <c r="K35" s="1809">
        <v>79.599999999999994</v>
      </c>
      <c r="L35" s="1810">
        <v>9</v>
      </c>
      <c r="M35" s="1804">
        <v>37621</v>
      </c>
      <c r="N35" s="1805">
        <v>32040</v>
      </c>
      <c r="O35" s="1812">
        <v>29447</v>
      </c>
      <c r="P35" s="1813">
        <v>149</v>
      </c>
      <c r="Q35" s="1812">
        <v>103</v>
      </c>
      <c r="R35" s="1813">
        <v>569</v>
      </c>
      <c r="S35" s="1812">
        <v>395</v>
      </c>
      <c r="T35" s="1833">
        <f t="shared" ref="T35:T42" si="0">N35/M35*100</f>
        <v>85.165200287073702</v>
      </c>
      <c r="U35" s="1808">
        <v>78.3</v>
      </c>
      <c r="V35" s="1809">
        <v>69.3</v>
      </c>
    </row>
    <row r="36" spans="1:22" ht="16.5" customHeight="1">
      <c r="A36" s="1815">
        <v>10</v>
      </c>
      <c r="B36" s="1816">
        <v>292284</v>
      </c>
      <c r="C36" s="1817">
        <v>245989</v>
      </c>
      <c r="D36" s="1818">
        <v>234078</v>
      </c>
      <c r="E36" s="1816">
        <v>996</v>
      </c>
      <c r="F36" s="1818">
        <v>803</v>
      </c>
      <c r="G36" s="1816">
        <v>520</v>
      </c>
      <c r="H36" s="1818">
        <v>419</v>
      </c>
      <c r="I36" s="1834">
        <v>84.2</v>
      </c>
      <c r="J36" s="1835">
        <v>80.099999999999994</v>
      </c>
      <c r="K36" s="1821">
        <v>80.599999999999994</v>
      </c>
      <c r="L36" s="1822">
        <v>10</v>
      </c>
      <c r="M36" s="1816">
        <v>36817</v>
      </c>
      <c r="N36" s="1817">
        <v>31779</v>
      </c>
      <c r="O36" s="1824">
        <v>29514</v>
      </c>
      <c r="P36" s="1825">
        <v>152</v>
      </c>
      <c r="Q36" s="1824">
        <v>101</v>
      </c>
      <c r="R36" s="1825">
        <v>580</v>
      </c>
      <c r="S36" s="1824">
        <v>386</v>
      </c>
      <c r="T36" s="1836">
        <f t="shared" si="0"/>
        <v>86.316103973707797</v>
      </c>
      <c r="U36" s="1820">
        <v>80.2</v>
      </c>
      <c r="V36" s="1821">
        <v>66.5</v>
      </c>
    </row>
    <row r="37" spans="1:22" ht="16.5" customHeight="1">
      <c r="A37" s="1791">
        <v>11</v>
      </c>
      <c r="B37" s="1792">
        <v>291767</v>
      </c>
      <c r="C37" s="1793">
        <v>247184</v>
      </c>
      <c r="D37" s="1794">
        <v>234958</v>
      </c>
      <c r="E37" s="1792">
        <v>1002.59</v>
      </c>
      <c r="F37" s="1794">
        <v>799.096</v>
      </c>
      <c r="G37" s="1792">
        <v>520</v>
      </c>
      <c r="H37" s="1794">
        <v>415</v>
      </c>
      <c r="I37" s="1827">
        <v>84.8</v>
      </c>
      <c r="J37" s="1828">
        <v>80.599999999999994</v>
      </c>
      <c r="K37" s="1797">
        <v>79.7</v>
      </c>
      <c r="L37" s="1798">
        <v>11</v>
      </c>
      <c r="M37" s="1792">
        <v>37501</v>
      </c>
      <c r="N37" s="1793">
        <v>32466</v>
      </c>
      <c r="O37" s="1800">
        <v>30109</v>
      </c>
      <c r="P37" s="1801">
        <v>152</v>
      </c>
      <c r="Q37" s="1800">
        <v>102</v>
      </c>
      <c r="R37" s="1801">
        <v>586</v>
      </c>
      <c r="S37" s="1800">
        <v>395</v>
      </c>
      <c r="T37" s="1837">
        <f t="shared" si="0"/>
        <v>86.573691368230172</v>
      </c>
      <c r="U37" s="1796">
        <v>80.3</v>
      </c>
      <c r="V37" s="1797">
        <v>67.400000000000006</v>
      </c>
    </row>
    <row r="38" spans="1:22" ht="16.5" customHeight="1">
      <c r="A38" s="1803">
        <v>12</v>
      </c>
      <c r="B38" s="1804">
        <v>293028</v>
      </c>
      <c r="C38" s="1805">
        <v>250096</v>
      </c>
      <c r="D38" s="1806">
        <v>238315</v>
      </c>
      <c r="E38" s="1804">
        <v>1003</v>
      </c>
      <c r="F38" s="1806">
        <v>801</v>
      </c>
      <c r="G38" s="1804">
        <v>521</v>
      </c>
      <c r="H38" s="1806">
        <v>416</v>
      </c>
      <c r="I38" s="1830">
        <v>85.3</v>
      </c>
      <c r="J38" s="1831">
        <v>81.3</v>
      </c>
      <c r="K38" s="1809">
        <v>79.900000000000006</v>
      </c>
      <c r="L38" s="1838">
        <v>12</v>
      </c>
      <c r="M38" s="1839">
        <v>36692</v>
      </c>
      <c r="N38" s="1840">
        <v>31617</v>
      </c>
      <c r="O38" s="1841">
        <v>29277</v>
      </c>
      <c r="P38" s="1842">
        <v>153</v>
      </c>
      <c r="Q38" s="1841">
        <v>100</v>
      </c>
      <c r="R38" s="1842">
        <v>601</v>
      </c>
      <c r="S38" s="1841">
        <v>396</v>
      </c>
      <c r="T38" s="1833">
        <f t="shared" si="0"/>
        <v>86.16864711653767</v>
      </c>
      <c r="U38" s="1843">
        <v>79.8</v>
      </c>
      <c r="V38" s="1844">
        <v>65.8</v>
      </c>
    </row>
    <row r="39" spans="1:22" ht="16.5" customHeight="1">
      <c r="A39" s="1803">
        <v>13</v>
      </c>
      <c r="B39" s="1804">
        <v>288563</v>
      </c>
      <c r="C39" s="1805">
        <v>245952</v>
      </c>
      <c r="D39" s="1806">
        <v>235558</v>
      </c>
      <c r="E39" s="1804">
        <v>1008</v>
      </c>
      <c r="F39" s="1806">
        <v>793</v>
      </c>
      <c r="G39" s="1804">
        <v>522</v>
      </c>
      <c r="H39" s="1806">
        <v>411</v>
      </c>
      <c r="I39" s="1830">
        <v>85.2</v>
      </c>
      <c r="J39" s="1831">
        <v>81.599999999999994</v>
      </c>
      <c r="K39" s="1809">
        <v>78.599999999999994</v>
      </c>
      <c r="L39" s="1838">
        <v>13</v>
      </c>
      <c r="M39" s="1839">
        <v>36009</v>
      </c>
      <c r="N39" s="1840">
        <v>30585</v>
      </c>
      <c r="O39" s="1841">
        <v>28563</v>
      </c>
      <c r="P39" s="1842">
        <v>153</v>
      </c>
      <c r="Q39" s="1841">
        <v>99</v>
      </c>
      <c r="R39" s="1842">
        <v>615</v>
      </c>
      <c r="S39" s="1841">
        <v>395</v>
      </c>
      <c r="T39" s="1833">
        <f t="shared" si="0"/>
        <v>84.937099058568691</v>
      </c>
      <c r="U39" s="1843">
        <f>O39/M39*100</f>
        <v>79.321836207614766</v>
      </c>
      <c r="V39" s="1844">
        <f>Q39/P39*100</f>
        <v>64.705882352941174</v>
      </c>
    </row>
    <row r="40" spans="1:22" ht="16.5" customHeight="1">
      <c r="A40" s="1803">
        <v>14</v>
      </c>
      <c r="B40" s="1804">
        <v>283388</v>
      </c>
      <c r="C40" s="1805">
        <v>243833</v>
      </c>
      <c r="D40" s="1806">
        <v>233650</v>
      </c>
      <c r="E40" s="1804">
        <v>978</v>
      </c>
      <c r="F40" s="1806">
        <v>778</v>
      </c>
      <c r="G40" s="1804">
        <v>506</v>
      </c>
      <c r="H40" s="1806">
        <v>403</v>
      </c>
      <c r="I40" s="1830">
        <v>86</v>
      </c>
      <c r="J40" s="1831">
        <v>82.4</v>
      </c>
      <c r="K40" s="1809">
        <v>79.599999999999994</v>
      </c>
      <c r="L40" s="1838">
        <v>14</v>
      </c>
      <c r="M40" s="1839">
        <v>36013</v>
      </c>
      <c r="N40" s="1840">
        <v>30060</v>
      </c>
      <c r="O40" s="1841">
        <v>28271</v>
      </c>
      <c r="P40" s="1842">
        <v>151</v>
      </c>
      <c r="Q40" s="1841">
        <v>99</v>
      </c>
      <c r="R40" s="1842">
        <v>615</v>
      </c>
      <c r="S40" s="1841">
        <v>402</v>
      </c>
      <c r="T40" s="1833">
        <f t="shared" si="0"/>
        <v>83.469858106794774</v>
      </c>
      <c r="U40" s="1843">
        <f>O40/M40*100</f>
        <v>78.502207536167489</v>
      </c>
      <c r="V40" s="1844">
        <f>Q40/P40*100</f>
        <v>65.562913907284766</v>
      </c>
    </row>
    <row r="41" spans="1:22" ht="16.5" customHeight="1">
      <c r="A41" s="1815">
        <v>15</v>
      </c>
      <c r="B41" s="1816">
        <v>279550</v>
      </c>
      <c r="C41" s="1817">
        <v>240748</v>
      </c>
      <c r="D41" s="1818">
        <v>230843</v>
      </c>
      <c r="E41" s="1816">
        <v>948</v>
      </c>
      <c r="F41" s="1818">
        <v>766</v>
      </c>
      <c r="G41" s="1816">
        <v>489</v>
      </c>
      <c r="H41" s="1818">
        <v>395</v>
      </c>
      <c r="I41" s="1834">
        <v>86.119835449830077</v>
      </c>
      <c r="J41" s="1835">
        <v>82.576641030227151</v>
      </c>
      <c r="K41" s="1821">
        <v>80.779439721654285</v>
      </c>
      <c r="L41" s="1845">
        <v>15</v>
      </c>
      <c r="M41" s="1846">
        <v>36442</v>
      </c>
      <c r="N41" s="1847">
        <v>29647</v>
      </c>
      <c r="O41" s="1848">
        <v>27830</v>
      </c>
      <c r="P41" s="1849">
        <v>154</v>
      </c>
      <c r="Q41" s="1848">
        <v>100</v>
      </c>
      <c r="R41" s="1849">
        <v>639</v>
      </c>
      <c r="S41" s="1848">
        <v>413</v>
      </c>
      <c r="T41" s="1836">
        <f t="shared" si="0"/>
        <v>81.35393227594534</v>
      </c>
      <c r="U41" s="1850">
        <f>O41/M41*100</f>
        <v>76.367927117062735</v>
      </c>
      <c r="V41" s="1851">
        <f>Q41/P41*100</f>
        <v>64.935064935064929</v>
      </c>
    </row>
    <row r="42" spans="1:22" ht="16.5" customHeight="1">
      <c r="A42" s="1791">
        <v>16</v>
      </c>
      <c r="B42" s="1792">
        <v>280441</v>
      </c>
      <c r="C42" s="1793">
        <v>243074</v>
      </c>
      <c r="D42" s="1794">
        <v>232983</v>
      </c>
      <c r="E42" s="1792">
        <v>970</v>
      </c>
      <c r="F42" s="1794">
        <v>770</v>
      </c>
      <c r="G42" s="1792">
        <v>497</v>
      </c>
      <c r="H42" s="1794">
        <v>395</v>
      </c>
      <c r="I42" s="1827">
        <v>86.7</v>
      </c>
      <c r="J42" s="1828">
        <v>83.1</v>
      </c>
      <c r="K42" s="1797">
        <v>79.400000000000006</v>
      </c>
      <c r="L42" s="1852">
        <v>16</v>
      </c>
      <c r="M42" s="1853">
        <v>34069</v>
      </c>
      <c r="N42" s="1854">
        <v>28388</v>
      </c>
      <c r="O42" s="1855">
        <v>26357</v>
      </c>
      <c r="P42" s="1856">
        <v>139</v>
      </c>
      <c r="Q42" s="1855">
        <v>93</v>
      </c>
      <c r="R42" s="1856">
        <v>625</v>
      </c>
      <c r="S42" s="1855">
        <v>421</v>
      </c>
      <c r="T42" s="1837">
        <f t="shared" si="0"/>
        <v>83.325016877513278</v>
      </c>
      <c r="U42" s="1857">
        <v>77.400000000000006</v>
      </c>
      <c r="V42" s="1858">
        <v>66.900000000000006</v>
      </c>
    </row>
    <row r="43" spans="1:22" ht="16.5" customHeight="1">
      <c r="A43" s="1803">
        <v>17</v>
      </c>
      <c r="B43" s="1804">
        <v>279947</v>
      </c>
      <c r="C43" s="1805">
        <v>241779</v>
      </c>
      <c r="D43" s="1806">
        <v>232759</v>
      </c>
      <c r="E43" s="1804">
        <v>945</v>
      </c>
      <c r="F43" s="1806">
        <v>754</v>
      </c>
      <c r="G43" s="1804">
        <v>487</v>
      </c>
      <c r="H43" s="1806">
        <v>389</v>
      </c>
      <c r="I43" s="1830">
        <v>86.4</v>
      </c>
      <c r="J43" s="1831">
        <v>83.1</v>
      </c>
      <c r="K43" s="1809">
        <v>79.8</v>
      </c>
      <c r="L43" s="1838">
        <v>17</v>
      </c>
      <c r="M43" s="1839">
        <v>34165</v>
      </c>
      <c r="N43" s="1840">
        <v>27888</v>
      </c>
      <c r="O43" s="1841">
        <v>26145</v>
      </c>
      <c r="P43" s="1842">
        <v>143</v>
      </c>
      <c r="Q43" s="1841">
        <v>94</v>
      </c>
      <c r="R43" s="1842">
        <v>655</v>
      </c>
      <c r="S43" s="1841">
        <v>428</v>
      </c>
      <c r="T43" s="1833">
        <v>81.599999999999994</v>
      </c>
      <c r="U43" s="1843">
        <v>76.5</v>
      </c>
      <c r="V43" s="1844">
        <v>65.3</v>
      </c>
    </row>
    <row r="44" spans="1:22" ht="16.5" customHeight="1">
      <c r="A44" s="1803">
        <v>18</v>
      </c>
      <c r="B44" s="1804">
        <v>277972</v>
      </c>
      <c r="C44" s="1805">
        <v>240021</v>
      </c>
      <c r="D44" s="1806">
        <v>231306</v>
      </c>
      <c r="E44" s="1804">
        <v>935</v>
      </c>
      <c r="F44" s="1806">
        <v>764</v>
      </c>
      <c r="G44" s="1804">
        <v>482</v>
      </c>
      <c r="H44" s="1806">
        <v>393</v>
      </c>
      <c r="I44" s="1859">
        <v>86.3</v>
      </c>
      <c r="J44" s="1831">
        <v>83.2</v>
      </c>
      <c r="K44" s="1809">
        <v>81.7</v>
      </c>
      <c r="L44" s="1838">
        <v>18</v>
      </c>
      <c r="M44" s="1839">
        <v>34084</v>
      </c>
      <c r="N44" s="1840">
        <v>27112</v>
      </c>
      <c r="O44" s="1841">
        <v>25535</v>
      </c>
      <c r="P44" s="1842">
        <v>137</v>
      </c>
      <c r="Q44" s="1841">
        <v>93</v>
      </c>
      <c r="R44" s="1842">
        <v>634</v>
      </c>
      <c r="S44" s="1841">
        <v>434</v>
      </c>
      <c r="T44" s="1833">
        <v>79.5</v>
      </c>
      <c r="U44" s="1843">
        <v>74.900000000000006</v>
      </c>
      <c r="V44" s="1844">
        <v>68.400000000000006</v>
      </c>
    </row>
    <row r="45" spans="1:22" ht="16.5" customHeight="1">
      <c r="A45" s="1803">
        <v>19</v>
      </c>
      <c r="B45" s="1804">
        <v>274754</v>
      </c>
      <c r="C45" s="1805">
        <v>236100</v>
      </c>
      <c r="D45" s="1806">
        <v>228631</v>
      </c>
      <c r="E45" s="1804">
        <v>941</v>
      </c>
      <c r="F45" s="1806">
        <v>752</v>
      </c>
      <c r="G45" s="1804">
        <v>487</v>
      </c>
      <c r="H45" s="1806">
        <v>390</v>
      </c>
      <c r="I45" s="1830">
        <v>86</v>
      </c>
      <c r="J45" s="1831">
        <v>83.3</v>
      </c>
      <c r="K45" s="1809">
        <v>79.900000000000006</v>
      </c>
      <c r="L45" s="1838">
        <v>19</v>
      </c>
      <c r="M45" s="1839">
        <v>33880</v>
      </c>
      <c r="N45" s="1840">
        <v>26044</v>
      </c>
      <c r="O45" s="1841">
        <v>24471</v>
      </c>
      <c r="P45" s="1842">
        <v>141</v>
      </c>
      <c r="Q45" s="1841">
        <v>93</v>
      </c>
      <c r="R45" s="1842">
        <v>664</v>
      </c>
      <c r="S45" s="1841">
        <v>435</v>
      </c>
      <c r="T45" s="1833">
        <v>76.900000000000006</v>
      </c>
      <c r="U45" s="1843">
        <v>72.2</v>
      </c>
      <c r="V45" s="1844">
        <v>65.5</v>
      </c>
    </row>
    <row r="46" spans="1:22" s="1872" customFormat="1" ht="16.5" customHeight="1">
      <c r="A46" s="1860">
        <v>20</v>
      </c>
      <c r="B46" s="1861">
        <v>267172</v>
      </c>
      <c r="C46" s="1862">
        <v>228904</v>
      </c>
      <c r="D46" s="1863">
        <v>221983</v>
      </c>
      <c r="E46" s="1861">
        <v>903</v>
      </c>
      <c r="F46" s="1863">
        <v>734</v>
      </c>
      <c r="G46" s="1861">
        <v>468</v>
      </c>
      <c r="H46" s="1863">
        <v>380</v>
      </c>
      <c r="I46" s="1864">
        <v>85.7</v>
      </c>
      <c r="J46" s="1865">
        <v>83.1</v>
      </c>
      <c r="K46" s="1866">
        <v>81.3</v>
      </c>
      <c r="L46" s="1867">
        <v>20</v>
      </c>
      <c r="M46" s="1861">
        <v>32879</v>
      </c>
      <c r="N46" s="1862">
        <v>25046</v>
      </c>
      <c r="O46" s="1868">
        <v>23891</v>
      </c>
      <c r="P46" s="1869">
        <v>136</v>
      </c>
      <c r="Q46" s="1868">
        <v>90</v>
      </c>
      <c r="R46" s="1869">
        <v>653</v>
      </c>
      <c r="S46" s="1868">
        <v>431</v>
      </c>
      <c r="T46" s="1870">
        <v>76.2</v>
      </c>
      <c r="U46" s="1871">
        <v>72.7</v>
      </c>
      <c r="V46" s="1866">
        <v>66</v>
      </c>
    </row>
    <row r="47" spans="1:22" s="1872" customFormat="1" ht="16.5" customHeight="1">
      <c r="A47" s="1873">
        <v>21</v>
      </c>
      <c r="B47" s="1874">
        <v>260560</v>
      </c>
      <c r="C47" s="1875">
        <v>224454</v>
      </c>
      <c r="D47" s="1876">
        <v>217680</v>
      </c>
      <c r="E47" s="1874">
        <v>872</v>
      </c>
      <c r="F47" s="1876">
        <v>715</v>
      </c>
      <c r="G47" s="1874">
        <v>454</v>
      </c>
      <c r="H47" s="1876">
        <v>373</v>
      </c>
      <c r="I47" s="1877">
        <v>86.2</v>
      </c>
      <c r="J47" s="1878">
        <v>83.6</v>
      </c>
      <c r="K47" s="1879">
        <v>82</v>
      </c>
      <c r="L47" s="1880">
        <v>21</v>
      </c>
      <c r="M47" s="1874">
        <v>32832</v>
      </c>
      <c r="N47" s="1875">
        <v>24716</v>
      </c>
      <c r="O47" s="1881">
        <v>23260</v>
      </c>
      <c r="P47" s="1882">
        <v>132</v>
      </c>
      <c r="Q47" s="1881">
        <v>90</v>
      </c>
      <c r="R47" s="1882">
        <v>644</v>
      </c>
      <c r="S47" s="1881">
        <v>438</v>
      </c>
      <c r="T47" s="1883">
        <v>75.3</v>
      </c>
      <c r="U47" s="1884">
        <v>70.8</v>
      </c>
      <c r="V47" s="1879">
        <v>67.900000000000006</v>
      </c>
    </row>
    <row r="48" spans="1:22" s="1872" customFormat="1" ht="16.5" customHeight="1">
      <c r="A48" s="1885">
        <v>22</v>
      </c>
      <c r="B48" s="1886">
        <v>262749</v>
      </c>
      <c r="C48" s="1887">
        <v>226923</v>
      </c>
      <c r="D48" s="1888">
        <v>219870</v>
      </c>
      <c r="E48" s="1886">
        <v>897</v>
      </c>
      <c r="F48" s="1888">
        <v>721</v>
      </c>
      <c r="G48" s="1886">
        <v>468</v>
      </c>
      <c r="H48" s="1888">
        <v>376</v>
      </c>
      <c r="I48" s="1889">
        <v>86.4</v>
      </c>
      <c r="J48" s="1890">
        <v>83.7</v>
      </c>
      <c r="K48" s="1891">
        <v>80.400000000000006</v>
      </c>
      <c r="L48" s="1892">
        <v>22</v>
      </c>
      <c r="M48" s="1886">
        <v>31969</v>
      </c>
      <c r="N48" s="1887">
        <v>24587</v>
      </c>
      <c r="O48" s="1893">
        <v>23114</v>
      </c>
      <c r="P48" s="1894">
        <v>133</v>
      </c>
      <c r="Q48" s="1893">
        <v>88</v>
      </c>
      <c r="R48" s="1894">
        <v>656</v>
      </c>
      <c r="S48" s="1893">
        <v>434</v>
      </c>
      <c r="T48" s="1895">
        <v>76.900000000000006</v>
      </c>
      <c r="U48" s="1896">
        <v>72.3</v>
      </c>
      <c r="V48" s="1891">
        <v>66.099999999999994</v>
      </c>
    </row>
    <row r="49" spans="1:23" s="1872" customFormat="1" ht="16.5" customHeight="1">
      <c r="A49" s="1897">
        <v>23</v>
      </c>
      <c r="B49" s="1898">
        <v>258853</v>
      </c>
      <c r="C49" s="1899">
        <v>223500</v>
      </c>
      <c r="D49" s="1900">
        <v>217089</v>
      </c>
      <c r="E49" s="1898">
        <v>882</v>
      </c>
      <c r="F49" s="1900">
        <v>709</v>
      </c>
      <c r="G49" s="1898">
        <v>460</v>
      </c>
      <c r="H49" s="1900">
        <v>371</v>
      </c>
      <c r="I49" s="1901">
        <v>86.4</v>
      </c>
      <c r="J49" s="1902">
        <v>83.9</v>
      </c>
      <c r="K49" s="1903">
        <v>80.400000000000006</v>
      </c>
      <c r="L49" s="1904">
        <v>23</v>
      </c>
      <c r="M49" s="1898">
        <v>30634</v>
      </c>
      <c r="N49" s="1899">
        <v>23372</v>
      </c>
      <c r="O49" s="1905">
        <v>21877</v>
      </c>
      <c r="P49" s="1906">
        <v>127</v>
      </c>
      <c r="Q49" s="1893">
        <v>84</v>
      </c>
      <c r="R49" s="1906">
        <v>658</v>
      </c>
      <c r="S49" s="1905">
        <v>433</v>
      </c>
      <c r="T49" s="1907">
        <v>76.3</v>
      </c>
      <c r="U49" s="1908">
        <v>71.400000000000006</v>
      </c>
      <c r="V49" s="1891">
        <v>65.900000000000006</v>
      </c>
    </row>
    <row r="50" spans="1:23" s="1872" customFormat="1" ht="16.5" customHeight="1">
      <c r="A50" s="1873">
        <v>24</v>
      </c>
      <c r="B50" s="1909">
        <v>256735</v>
      </c>
      <c r="C50" s="1910">
        <v>222356</v>
      </c>
      <c r="D50" s="1911">
        <v>215800</v>
      </c>
      <c r="E50" s="1909">
        <v>867</v>
      </c>
      <c r="F50" s="1911">
        <v>705</v>
      </c>
      <c r="G50" s="1909">
        <v>456</v>
      </c>
      <c r="H50" s="1911">
        <v>368</v>
      </c>
      <c r="I50" s="1912">
        <v>86.6</v>
      </c>
      <c r="J50" s="1913">
        <v>84.1</v>
      </c>
      <c r="K50" s="1914">
        <v>81.2</v>
      </c>
      <c r="L50" s="1915">
        <v>24</v>
      </c>
      <c r="M50" s="1909">
        <v>31266</v>
      </c>
      <c r="N50" s="1910">
        <v>23436</v>
      </c>
      <c r="O50" s="1916">
        <v>21699</v>
      </c>
      <c r="P50" s="1917">
        <v>132</v>
      </c>
      <c r="Q50" s="1916">
        <v>86</v>
      </c>
      <c r="R50" s="1917">
        <v>694</v>
      </c>
      <c r="S50" s="1916">
        <v>451</v>
      </c>
      <c r="T50" s="1918">
        <v>75</v>
      </c>
      <c r="U50" s="1919">
        <v>69.400000000000006</v>
      </c>
      <c r="V50" s="1914">
        <v>65</v>
      </c>
    </row>
    <row r="51" spans="1:23" s="1872" customFormat="1" ht="16.5" customHeight="1">
      <c r="A51" s="1920">
        <v>25</v>
      </c>
      <c r="B51" s="1921">
        <v>256681</v>
      </c>
      <c r="C51" s="1922">
        <v>221937</v>
      </c>
      <c r="D51" s="1923">
        <v>215573</v>
      </c>
      <c r="E51" s="1921">
        <v>862</v>
      </c>
      <c r="F51" s="1923">
        <v>705</v>
      </c>
      <c r="G51" s="1921">
        <v>453</v>
      </c>
      <c r="H51" s="1923">
        <v>367</v>
      </c>
      <c r="I51" s="1924">
        <v>86.5</v>
      </c>
      <c r="J51" s="1925">
        <v>84</v>
      </c>
      <c r="K51" s="1926">
        <v>81.8</v>
      </c>
      <c r="L51" s="1927">
        <v>25</v>
      </c>
      <c r="M51" s="1921">
        <v>30549</v>
      </c>
      <c r="N51" s="1922">
        <v>22788</v>
      </c>
      <c r="O51" s="1928">
        <v>20898</v>
      </c>
      <c r="P51" s="1929">
        <v>128</v>
      </c>
      <c r="Q51" s="1928">
        <v>83</v>
      </c>
      <c r="R51" s="1929">
        <v>701</v>
      </c>
      <c r="S51" s="1928">
        <v>457</v>
      </c>
      <c r="T51" s="1930">
        <v>74.599999999999994</v>
      </c>
      <c r="U51" s="1931">
        <v>68.400000000000006</v>
      </c>
      <c r="V51" s="1926">
        <v>65.2</v>
      </c>
    </row>
    <row r="52" spans="1:23" s="1872" customFormat="1" ht="16.5" customHeight="1">
      <c r="A52" s="1932">
        <v>26</v>
      </c>
      <c r="B52" s="1933">
        <v>254162</v>
      </c>
      <c r="C52" s="1934">
        <v>220495</v>
      </c>
      <c r="D52" s="1935">
        <v>212986</v>
      </c>
      <c r="E52" s="1874">
        <v>851</v>
      </c>
      <c r="F52" s="1876">
        <v>698</v>
      </c>
      <c r="G52" s="1936">
        <v>445</v>
      </c>
      <c r="H52" s="1937">
        <v>362</v>
      </c>
      <c r="I52" s="1938">
        <v>86.8</v>
      </c>
      <c r="J52" s="1939">
        <v>83.8</v>
      </c>
      <c r="K52" s="1940">
        <v>82</v>
      </c>
      <c r="L52" s="1941">
        <v>26</v>
      </c>
      <c r="M52" s="1933">
        <v>28530</v>
      </c>
      <c r="N52" s="1934">
        <v>20877</v>
      </c>
      <c r="O52" s="1942">
        <v>18650</v>
      </c>
      <c r="P52" s="1943">
        <v>119</v>
      </c>
      <c r="Q52" s="1881">
        <v>78</v>
      </c>
      <c r="R52" s="1943">
        <v>736</v>
      </c>
      <c r="S52" s="1942">
        <v>482</v>
      </c>
      <c r="T52" s="1944">
        <v>73.2</v>
      </c>
      <c r="U52" s="1945">
        <v>65.400000000000006</v>
      </c>
      <c r="V52" s="1946">
        <v>65.5</v>
      </c>
    </row>
    <row r="53" spans="1:23" s="1872" customFormat="1" ht="16.5" customHeight="1">
      <c r="A53" s="1897">
        <v>27</v>
      </c>
      <c r="B53" s="1898">
        <v>255051</v>
      </c>
      <c r="C53" s="1899">
        <v>219310</v>
      </c>
      <c r="D53" s="1900">
        <v>212754</v>
      </c>
      <c r="E53" s="1898">
        <v>846</v>
      </c>
      <c r="F53" s="1900">
        <v>698</v>
      </c>
      <c r="G53" s="1898">
        <v>443</v>
      </c>
      <c r="H53" s="1900">
        <v>363</v>
      </c>
      <c r="I53" s="1901">
        <v>86</v>
      </c>
      <c r="J53" s="1902">
        <v>83.4</v>
      </c>
      <c r="K53" s="1903">
        <v>82.5</v>
      </c>
      <c r="L53" s="1904">
        <v>27</v>
      </c>
      <c r="M53" s="1898">
        <v>26994</v>
      </c>
      <c r="N53" s="1899">
        <v>20130</v>
      </c>
      <c r="O53" s="1905">
        <v>18005</v>
      </c>
      <c r="P53" s="1906">
        <v>110</v>
      </c>
      <c r="Q53" s="1893">
        <v>74</v>
      </c>
      <c r="R53" s="1906">
        <v>715</v>
      </c>
      <c r="S53" s="1905">
        <v>479</v>
      </c>
      <c r="T53" s="1907">
        <v>74.599999999999994</v>
      </c>
      <c r="U53" s="1908">
        <v>66.7</v>
      </c>
      <c r="V53" s="1947">
        <v>67</v>
      </c>
    </row>
    <row r="54" spans="1:23" s="1872" customFormat="1" ht="16.5" customHeight="1">
      <c r="A54" s="1948">
        <v>28</v>
      </c>
      <c r="B54" s="1898">
        <v>254949</v>
      </c>
      <c r="C54" s="1899">
        <v>219587</v>
      </c>
      <c r="D54" s="1900">
        <v>213150</v>
      </c>
      <c r="E54" s="1898">
        <v>843</v>
      </c>
      <c r="F54" s="1900">
        <v>700</v>
      </c>
      <c r="G54" s="1898">
        <v>443</v>
      </c>
      <c r="H54" s="1900">
        <v>365</v>
      </c>
      <c r="I54" s="1901">
        <v>86.1</v>
      </c>
      <c r="J54" s="1902">
        <v>83.6</v>
      </c>
      <c r="K54" s="1903">
        <v>83</v>
      </c>
      <c r="L54" s="1904">
        <v>28</v>
      </c>
      <c r="M54" s="1898">
        <v>25961</v>
      </c>
      <c r="N54" s="1899">
        <v>19728</v>
      </c>
      <c r="O54" s="1905">
        <v>17670</v>
      </c>
      <c r="P54" s="1906">
        <v>106</v>
      </c>
      <c r="Q54" s="1893">
        <v>71</v>
      </c>
      <c r="R54" s="1906">
        <v>703</v>
      </c>
      <c r="S54" s="1905">
        <v>469</v>
      </c>
      <c r="T54" s="1907">
        <v>76</v>
      </c>
      <c r="U54" s="1908">
        <v>68.099999999999994</v>
      </c>
      <c r="V54" s="1891">
        <v>66.8</v>
      </c>
    </row>
    <row r="55" spans="1:23" ht="17.5" customHeight="1">
      <c r="A55" s="1949">
        <v>29</v>
      </c>
      <c r="B55" s="1950">
        <v>263028</v>
      </c>
      <c r="C55" s="1951">
        <v>226169</v>
      </c>
      <c r="D55" s="1952">
        <v>218627</v>
      </c>
      <c r="E55" s="1909">
        <v>878</v>
      </c>
      <c r="F55" s="1911">
        <v>722</v>
      </c>
      <c r="G55" s="1950">
        <v>449</v>
      </c>
      <c r="H55" s="1911">
        <v>367</v>
      </c>
      <c r="I55" s="1912">
        <v>86</v>
      </c>
      <c r="J55" s="1913">
        <v>83.1</v>
      </c>
      <c r="K55" s="1953">
        <v>82.3</v>
      </c>
      <c r="L55" s="1954">
        <v>29</v>
      </c>
      <c r="M55" s="1950">
        <v>17344</v>
      </c>
      <c r="N55" s="1951">
        <v>12419</v>
      </c>
      <c r="O55" s="1955">
        <v>11339</v>
      </c>
      <c r="P55" s="1956">
        <v>74</v>
      </c>
      <c r="Q55" s="1916">
        <v>48</v>
      </c>
      <c r="R55" s="1956">
        <v>848</v>
      </c>
      <c r="S55" s="1955">
        <v>545</v>
      </c>
      <c r="T55" s="1957">
        <v>71.599999999999994</v>
      </c>
      <c r="U55" s="1919">
        <v>65.400000000000006</v>
      </c>
      <c r="V55" s="1953">
        <v>64.3</v>
      </c>
    </row>
    <row r="56" spans="1:23" ht="17.5" customHeight="1">
      <c r="A56" s="1958">
        <v>30</v>
      </c>
      <c r="B56" s="1959">
        <v>263283</v>
      </c>
      <c r="C56" s="1960">
        <v>225644</v>
      </c>
      <c r="D56" s="1961">
        <v>218389</v>
      </c>
      <c r="E56" s="1962">
        <v>883</v>
      </c>
      <c r="F56" s="1961">
        <v>724</v>
      </c>
      <c r="G56" s="1962">
        <v>454</v>
      </c>
      <c r="H56" s="1961">
        <v>370</v>
      </c>
      <c r="I56" s="1963">
        <v>85.7</v>
      </c>
      <c r="J56" s="1964">
        <v>83</v>
      </c>
      <c r="K56" s="1965">
        <v>82</v>
      </c>
      <c r="L56" s="1958">
        <v>30</v>
      </c>
      <c r="M56" s="1959">
        <v>17113</v>
      </c>
      <c r="N56" s="1966">
        <v>12275</v>
      </c>
      <c r="O56" s="1961">
        <v>11244</v>
      </c>
      <c r="P56" s="1962">
        <v>74</v>
      </c>
      <c r="Q56" s="1961">
        <v>47</v>
      </c>
      <c r="R56" s="1962">
        <v>871</v>
      </c>
      <c r="S56" s="1966">
        <v>550</v>
      </c>
      <c r="T56" s="1967">
        <v>71.7</v>
      </c>
      <c r="U56" s="1964">
        <v>65.7</v>
      </c>
      <c r="V56" s="1965">
        <v>63.1</v>
      </c>
      <c r="W56" s="1968"/>
    </row>
    <row r="57" spans="1:23" ht="17.5" customHeight="1">
      <c r="A57" s="1969" t="s">
        <v>215</v>
      </c>
      <c r="B57" s="1970">
        <v>259611</v>
      </c>
      <c r="C57" s="1971">
        <v>221227</v>
      </c>
      <c r="D57" s="1972">
        <v>214386</v>
      </c>
      <c r="E57" s="1973">
        <v>857</v>
      </c>
      <c r="F57" s="1972">
        <v>711</v>
      </c>
      <c r="G57" s="1973">
        <v>443</v>
      </c>
      <c r="H57" s="1972">
        <v>365</v>
      </c>
      <c r="I57" s="1974">
        <v>85.2</v>
      </c>
      <c r="J57" s="1975">
        <v>82.6</v>
      </c>
      <c r="K57" s="1976">
        <v>83</v>
      </c>
      <c r="L57" s="1969" t="s">
        <v>215</v>
      </c>
      <c r="M57" s="1970">
        <v>16630</v>
      </c>
      <c r="N57" s="1977">
        <v>11856</v>
      </c>
      <c r="O57" s="1972">
        <v>11127</v>
      </c>
      <c r="P57" s="1973">
        <v>72</v>
      </c>
      <c r="Q57" s="1972">
        <v>46</v>
      </c>
      <c r="R57" s="1973">
        <v>854.92983287898539</v>
      </c>
      <c r="S57" s="1977">
        <v>538.55635889534187</v>
      </c>
      <c r="T57" s="1978">
        <v>71.3</v>
      </c>
      <c r="U57" s="1975">
        <v>66.900000000000006</v>
      </c>
      <c r="V57" s="1976">
        <v>63</v>
      </c>
    </row>
    <row r="58" spans="1:23" ht="17.5" customHeight="1">
      <c r="A58" s="1979">
        <v>2</v>
      </c>
      <c r="B58" s="1980">
        <v>260512</v>
      </c>
      <c r="C58" s="1981">
        <v>222313</v>
      </c>
      <c r="D58" s="1982">
        <v>215198</v>
      </c>
      <c r="E58" s="1983">
        <v>843.928</v>
      </c>
      <c r="F58" s="1982">
        <v>715.56</v>
      </c>
      <c r="G58" s="1983">
        <v>439</v>
      </c>
      <c r="H58" s="1982">
        <v>370</v>
      </c>
      <c r="I58" s="1984">
        <v>85.4</v>
      </c>
      <c r="J58" s="1985">
        <v>82.6</v>
      </c>
      <c r="K58" s="1986">
        <v>84.8</v>
      </c>
      <c r="L58" s="1979">
        <v>2</v>
      </c>
      <c r="M58" s="1980">
        <v>16627.697</v>
      </c>
      <c r="N58" s="1987">
        <v>11688.284</v>
      </c>
      <c r="O58" s="1982">
        <v>10598.513000000001</v>
      </c>
      <c r="P58" s="1983">
        <v>70.626300000000001</v>
      </c>
      <c r="Q58" s="1982">
        <v>45.555</v>
      </c>
      <c r="R58" s="1983">
        <v>852.82014127875379</v>
      </c>
      <c r="S58" s="1987">
        <v>550.08150697337442</v>
      </c>
      <c r="T58" s="1988">
        <v>70.3</v>
      </c>
      <c r="U58" s="1985">
        <v>63.7</v>
      </c>
      <c r="V58" s="1986">
        <v>64.5</v>
      </c>
    </row>
    <row r="60" spans="1:23" ht="17.5" customHeight="1">
      <c r="D60" s="1989"/>
    </row>
    <row r="61" spans="1:23" ht="17.5" customHeight="1">
      <c r="D61" s="1989"/>
    </row>
  </sheetData>
  <mergeCells count="12">
    <mergeCell ref="R4:S4"/>
    <mergeCell ref="T4:V4"/>
    <mergeCell ref="A3:A6"/>
    <mergeCell ref="B3:K3"/>
    <mergeCell ref="L3:L6"/>
    <mergeCell ref="M3:V3"/>
    <mergeCell ref="B4:D4"/>
    <mergeCell ref="E4:F4"/>
    <mergeCell ref="G4:H4"/>
    <mergeCell ref="I4:K4"/>
    <mergeCell ref="M4:O4"/>
    <mergeCell ref="P4:Q4"/>
  </mergeCells>
  <phoneticPr fontId="6"/>
  <printOptions gridLinesSet="0"/>
  <pageMargins left="0.78740157480314965" right="0.39370078740157483" top="0.39370078740157483" bottom="0.39" header="0" footer="0"/>
  <pageSetup paperSize="9" scale="85" orientation="portrait" r:id="rId1"/>
  <headerFooter alignWithMargins="0"/>
  <colBreaks count="1" manualBreakCount="1">
    <brk id="11" max="61"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2453A-ED29-4F94-AD27-BC85F7B42EB3}">
  <dimension ref="A1:J73"/>
  <sheetViews>
    <sheetView view="pageBreakPreview" zoomScaleNormal="75" workbookViewId="0"/>
  </sheetViews>
  <sheetFormatPr defaultColWidth="9" defaultRowHeight="11"/>
  <cols>
    <col min="1" max="1" width="5.90625" style="134" customWidth="1"/>
    <col min="2" max="2" width="3.453125" style="134" customWidth="1"/>
    <col min="3" max="3" width="15.453125" style="134" customWidth="1"/>
    <col min="4" max="4" width="9.36328125" style="135" customWidth="1"/>
    <col min="5" max="5" width="4" style="134" customWidth="1"/>
    <col min="6" max="6" width="9.6328125" style="134" customWidth="1"/>
    <col min="7" max="7" width="3" style="134" customWidth="1"/>
    <col min="8" max="8" width="9.6328125" style="134" customWidth="1"/>
    <col min="9" max="9" width="10.90625" style="134" customWidth="1"/>
    <col min="10" max="10" width="9.6328125" style="134" customWidth="1"/>
    <col min="11" max="11" width="30" style="134" customWidth="1"/>
    <col min="12" max="16384" width="9" style="134"/>
  </cols>
  <sheetData>
    <row r="1" spans="1:10" s="132" customFormat="1" ht="25" customHeight="1">
      <c r="A1" s="131" t="s">
        <v>494</v>
      </c>
      <c r="D1" s="133"/>
    </row>
    <row r="2" spans="1:10" ht="25" customHeight="1"/>
    <row r="3" spans="1:10" s="136" customFormat="1" ht="25" customHeight="1">
      <c r="A3" s="1990" t="s">
        <v>495</v>
      </c>
      <c r="B3" s="1990" t="s">
        <v>496</v>
      </c>
      <c r="C3" s="1990" t="s">
        <v>497</v>
      </c>
      <c r="D3" s="1990" t="s">
        <v>498</v>
      </c>
      <c r="E3" s="1990"/>
      <c r="F3" s="1990"/>
      <c r="G3" s="1990" t="s">
        <v>499</v>
      </c>
      <c r="H3" s="1990" t="s">
        <v>500</v>
      </c>
      <c r="I3" s="1990"/>
      <c r="J3" s="1990"/>
    </row>
    <row r="4" spans="1:10" s="136" customFormat="1" ht="51" customHeight="1">
      <c r="A4" s="1990"/>
      <c r="B4" s="1990"/>
      <c r="C4" s="1990"/>
      <c r="D4" s="1991" t="s">
        <v>501</v>
      </c>
      <c r="E4" s="1992" t="s">
        <v>502</v>
      </c>
      <c r="F4" s="1992" t="s">
        <v>503</v>
      </c>
      <c r="G4" s="1990"/>
      <c r="H4" s="1992" t="s">
        <v>504</v>
      </c>
      <c r="I4" s="1992" t="s">
        <v>505</v>
      </c>
      <c r="J4" s="1992" t="s">
        <v>506</v>
      </c>
    </row>
    <row r="5" spans="1:10" ht="24" customHeight="1">
      <c r="A5" s="1993" t="s">
        <v>507</v>
      </c>
      <c r="B5" s="137">
        <v>501</v>
      </c>
      <c r="C5" s="137" t="s">
        <v>508</v>
      </c>
      <c r="D5" s="138">
        <v>36613</v>
      </c>
      <c r="E5" s="137" t="s">
        <v>144</v>
      </c>
      <c r="F5" s="137">
        <v>25000</v>
      </c>
      <c r="G5" s="137">
        <v>4</v>
      </c>
      <c r="H5" s="137" t="s">
        <v>509</v>
      </c>
      <c r="I5" s="139">
        <v>8931</v>
      </c>
      <c r="J5" s="139">
        <v>2387</v>
      </c>
    </row>
    <row r="6" spans="1:10" ht="24" customHeight="1">
      <c r="A6" s="828"/>
      <c r="B6" s="137"/>
      <c r="C6" s="137"/>
      <c r="D6" s="138"/>
      <c r="E6" s="137"/>
      <c r="F6" s="137"/>
      <c r="G6" s="137"/>
      <c r="H6" s="137" t="s">
        <v>371</v>
      </c>
      <c r="I6" s="139">
        <v>3450</v>
      </c>
      <c r="J6" s="139">
        <v>976</v>
      </c>
    </row>
    <row r="7" spans="1:10" ht="24" customHeight="1">
      <c r="A7" s="828"/>
      <c r="B7" s="140"/>
      <c r="C7" s="140"/>
      <c r="D7" s="141"/>
      <c r="E7" s="140"/>
      <c r="F7" s="140"/>
      <c r="G7" s="140"/>
      <c r="H7" s="140" t="s">
        <v>372</v>
      </c>
      <c r="I7" s="142">
        <v>1300</v>
      </c>
      <c r="J7" s="142">
        <v>415</v>
      </c>
    </row>
    <row r="8" spans="1:10" ht="24" customHeight="1">
      <c r="A8" s="828"/>
      <c r="B8" s="140"/>
      <c r="C8" s="140"/>
      <c r="D8" s="141"/>
      <c r="E8" s="140"/>
      <c r="F8" s="140"/>
      <c r="G8" s="140"/>
      <c r="H8" s="140" t="s">
        <v>510</v>
      </c>
      <c r="I8" s="142">
        <v>9000</v>
      </c>
      <c r="J8" s="142">
        <v>2657</v>
      </c>
    </row>
    <row r="9" spans="1:10" ht="24" customHeight="1">
      <c r="A9" s="828"/>
      <c r="B9" s="140"/>
      <c r="C9" s="140"/>
      <c r="D9" s="141"/>
      <c r="E9" s="140"/>
      <c r="F9" s="140"/>
      <c r="G9" s="140"/>
      <c r="H9" s="140" t="s">
        <v>511</v>
      </c>
      <c r="I9" s="142">
        <v>1223</v>
      </c>
      <c r="J9" s="142">
        <v>98</v>
      </c>
    </row>
    <row r="10" spans="1:10" ht="24" customHeight="1">
      <c r="A10" s="828"/>
      <c r="B10" s="140"/>
      <c r="C10" s="140"/>
      <c r="D10" s="141"/>
      <c r="E10" s="140"/>
      <c r="F10" s="140"/>
      <c r="G10" s="140"/>
      <c r="H10" s="140" t="s">
        <v>34</v>
      </c>
      <c r="I10" s="142">
        <f>+SUM(I5:I9)</f>
        <v>23904</v>
      </c>
      <c r="J10" s="142">
        <f>+SUM(J5:J9)</f>
        <v>6533</v>
      </c>
    </row>
    <row r="11" spans="1:10" ht="24" customHeight="1">
      <c r="A11" s="829"/>
      <c r="B11" s="143"/>
      <c r="C11" s="143"/>
      <c r="D11" s="144"/>
      <c r="E11" s="143"/>
      <c r="F11" s="143"/>
      <c r="G11" s="143"/>
      <c r="H11" s="143"/>
      <c r="I11" s="145"/>
      <c r="J11" s="145"/>
    </row>
    <row r="12" spans="1:10" ht="24" customHeight="1">
      <c r="A12" s="1993" t="s">
        <v>512</v>
      </c>
      <c r="B12" s="137">
        <v>504</v>
      </c>
      <c r="C12" s="137" t="s">
        <v>513</v>
      </c>
      <c r="D12" s="138">
        <v>29465</v>
      </c>
      <c r="E12" s="137" t="s">
        <v>514</v>
      </c>
      <c r="F12" s="137">
        <v>46500</v>
      </c>
      <c r="G12" s="137">
        <v>6</v>
      </c>
      <c r="H12" s="137" t="s">
        <v>388</v>
      </c>
      <c r="I12" s="139">
        <v>23700</v>
      </c>
      <c r="J12" s="139">
        <v>6730</v>
      </c>
    </row>
    <row r="13" spans="1:10" ht="24" customHeight="1">
      <c r="A13" s="828"/>
      <c r="B13" s="140"/>
      <c r="C13" s="140"/>
      <c r="D13" s="141"/>
      <c r="E13" s="140"/>
      <c r="F13" s="140"/>
      <c r="G13" s="140"/>
      <c r="H13" s="140" t="s">
        <v>515</v>
      </c>
      <c r="I13" s="142">
        <v>8600</v>
      </c>
      <c r="J13" s="142">
        <v>2536</v>
      </c>
    </row>
    <row r="14" spans="1:10" ht="24" customHeight="1">
      <c r="A14" s="828"/>
      <c r="B14" s="140"/>
      <c r="C14" s="140"/>
      <c r="D14" s="141"/>
      <c r="E14" s="140"/>
      <c r="F14" s="140"/>
      <c r="G14" s="140"/>
      <c r="H14" s="140" t="s">
        <v>393</v>
      </c>
      <c r="I14" s="142">
        <v>8100</v>
      </c>
      <c r="J14" s="142">
        <v>2395</v>
      </c>
    </row>
    <row r="15" spans="1:10" ht="24" customHeight="1">
      <c r="A15" s="828"/>
      <c r="B15" s="140"/>
      <c r="C15" s="140"/>
      <c r="D15" s="141"/>
      <c r="E15" s="140"/>
      <c r="F15" s="140"/>
      <c r="G15" s="140"/>
      <c r="H15" s="140" t="s">
        <v>395</v>
      </c>
      <c r="I15" s="142">
        <v>4500</v>
      </c>
      <c r="J15" s="142">
        <v>1598</v>
      </c>
    </row>
    <row r="16" spans="1:10" ht="24" customHeight="1">
      <c r="A16" s="828"/>
      <c r="B16" s="140"/>
      <c r="C16" s="140"/>
      <c r="D16" s="141"/>
      <c r="E16" s="140"/>
      <c r="F16" s="140"/>
      <c r="G16" s="140"/>
      <c r="H16" s="140" t="s">
        <v>397</v>
      </c>
      <c r="I16" s="142">
        <v>1600</v>
      </c>
      <c r="J16" s="142">
        <v>479</v>
      </c>
    </row>
    <row r="17" spans="1:10" ht="24" customHeight="1">
      <c r="A17" s="828"/>
      <c r="B17" s="140"/>
      <c r="C17" s="140"/>
      <c r="D17" s="141"/>
      <c r="E17" s="140"/>
      <c r="F17" s="140"/>
      <c r="G17" s="140"/>
      <c r="H17" s="140" t="s">
        <v>34</v>
      </c>
      <c r="I17" s="142">
        <f>+SUM(I12:I16)</f>
        <v>46500</v>
      </c>
      <c r="J17" s="142">
        <f>+SUM(J12:J16)</f>
        <v>13738</v>
      </c>
    </row>
    <row r="18" spans="1:10" ht="24" customHeight="1">
      <c r="A18" s="829"/>
      <c r="B18" s="143"/>
      <c r="C18" s="143"/>
      <c r="D18" s="144"/>
      <c r="E18" s="143"/>
      <c r="F18" s="143"/>
      <c r="G18" s="143"/>
      <c r="H18" s="143"/>
      <c r="I18" s="145"/>
      <c r="J18" s="145"/>
    </row>
    <row r="19" spans="1:10" ht="24" customHeight="1">
      <c r="A19" s="1993" t="s">
        <v>516</v>
      </c>
      <c r="B19" s="137">
        <v>502</v>
      </c>
      <c r="C19" s="137" t="s">
        <v>517</v>
      </c>
      <c r="D19" s="138">
        <v>27023</v>
      </c>
      <c r="E19" s="137" t="s">
        <v>518</v>
      </c>
      <c r="F19" s="137">
        <v>81000</v>
      </c>
      <c r="G19" s="146" t="s">
        <v>76</v>
      </c>
      <c r="H19" s="137" t="s">
        <v>424</v>
      </c>
      <c r="I19" s="139">
        <v>63000</v>
      </c>
      <c r="J19" s="139">
        <v>22822</v>
      </c>
    </row>
    <row r="20" spans="1:10" ht="24" customHeight="1">
      <c r="A20" s="828"/>
      <c r="B20" s="140"/>
      <c r="C20" s="140"/>
      <c r="D20" s="141"/>
      <c r="E20" s="140"/>
      <c r="F20" s="140"/>
      <c r="G20" s="140"/>
      <c r="H20" s="140" t="s">
        <v>426</v>
      </c>
      <c r="I20" s="142">
        <v>16500</v>
      </c>
      <c r="J20" s="142">
        <v>6006</v>
      </c>
    </row>
    <row r="21" spans="1:10" ht="24" customHeight="1">
      <c r="A21" s="828"/>
      <c r="B21" s="140"/>
      <c r="C21" s="140"/>
      <c r="D21" s="141"/>
      <c r="E21" s="140"/>
      <c r="F21" s="140"/>
      <c r="G21" s="140"/>
      <c r="H21" s="140" t="s">
        <v>519</v>
      </c>
      <c r="I21" s="142">
        <v>1500</v>
      </c>
      <c r="J21" s="142">
        <v>546</v>
      </c>
    </row>
    <row r="22" spans="1:10" ht="24" customHeight="1">
      <c r="A22" s="828"/>
      <c r="B22" s="140"/>
      <c r="C22" s="140"/>
      <c r="D22" s="141"/>
      <c r="E22" s="140"/>
      <c r="F22" s="140"/>
      <c r="G22" s="140"/>
      <c r="H22" s="140" t="s">
        <v>34</v>
      </c>
      <c r="I22" s="140">
        <f>+SUM(I19:I21)</f>
        <v>81000</v>
      </c>
      <c r="J22" s="140">
        <f>+SUM(J19:J21)</f>
        <v>29374</v>
      </c>
    </row>
    <row r="23" spans="1:10" ht="24" customHeight="1">
      <c r="A23" s="829"/>
      <c r="B23" s="143"/>
      <c r="C23" s="143"/>
      <c r="D23" s="144"/>
      <c r="E23" s="143"/>
      <c r="F23" s="143"/>
      <c r="G23" s="143"/>
      <c r="H23" s="143"/>
      <c r="I23" s="143"/>
      <c r="J23" s="143"/>
    </row>
    <row r="24" spans="1:10" ht="24" customHeight="1">
      <c r="A24" s="830" t="s">
        <v>520</v>
      </c>
      <c r="B24" s="137">
        <v>503</v>
      </c>
      <c r="C24" s="137" t="s">
        <v>521</v>
      </c>
      <c r="D24" s="138">
        <v>27180</v>
      </c>
      <c r="E24" s="137" t="s">
        <v>522</v>
      </c>
      <c r="F24" s="137">
        <v>17000</v>
      </c>
      <c r="G24" s="137">
        <v>3</v>
      </c>
      <c r="H24" s="137" t="s">
        <v>434</v>
      </c>
      <c r="I24" s="137">
        <v>13000</v>
      </c>
      <c r="J24" s="147" t="s">
        <v>76</v>
      </c>
    </row>
    <row r="25" spans="1:10" ht="24" customHeight="1">
      <c r="A25" s="831"/>
      <c r="B25" s="140"/>
      <c r="C25" s="140"/>
      <c r="D25" s="141"/>
      <c r="E25" s="140"/>
      <c r="F25" s="140"/>
      <c r="G25" s="140"/>
      <c r="H25" s="140" t="s">
        <v>437</v>
      </c>
      <c r="I25" s="140">
        <v>2500</v>
      </c>
      <c r="J25" s="148" t="s">
        <v>76</v>
      </c>
    </row>
    <row r="26" spans="1:10" ht="24" customHeight="1">
      <c r="A26" s="831"/>
      <c r="B26" s="140"/>
      <c r="C26" s="140"/>
      <c r="D26" s="141"/>
      <c r="E26" s="140"/>
      <c r="F26" s="140"/>
      <c r="G26" s="140"/>
      <c r="H26" s="140" t="s">
        <v>440</v>
      </c>
      <c r="I26" s="140">
        <v>1500</v>
      </c>
      <c r="J26" s="148" t="s">
        <v>76</v>
      </c>
    </row>
    <row r="27" spans="1:10" ht="24" customHeight="1">
      <c r="A27" s="832"/>
      <c r="B27" s="143"/>
      <c r="C27" s="143"/>
      <c r="D27" s="144"/>
      <c r="E27" s="143"/>
      <c r="F27" s="143"/>
      <c r="G27" s="143"/>
      <c r="H27" s="143" t="s">
        <v>34</v>
      </c>
      <c r="I27" s="143">
        <f>+SUM(I24:I26)</f>
        <v>17000</v>
      </c>
      <c r="J27" s="149" t="s">
        <v>76</v>
      </c>
    </row>
    <row r="28" spans="1:10" ht="25" customHeight="1"/>
    <row r="29" spans="1:10" ht="25" customHeight="1"/>
    <row r="30" spans="1:10" ht="25" customHeight="1"/>
    <row r="31" spans="1:10" ht="25" customHeight="1"/>
    <row r="32" spans="1:10" ht="25" customHeight="1"/>
    <row r="33" ht="25" customHeight="1"/>
    <row r="34" ht="25" customHeight="1"/>
    <row r="35" ht="25" customHeight="1"/>
    <row r="36" ht="25" customHeight="1"/>
    <row r="37" ht="25" customHeight="1"/>
    <row r="38" ht="25" customHeight="1"/>
    <row r="39" ht="25" customHeight="1"/>
    <row r="40" ht="25" customHeight="1"/>
    <row r="41" ht="25" customHeight="1"/>
    <row r="42" ht="25" customHeight="1"/>
    <row r="43" ht="25" customHeight="1"/>
    <row r="44" ht="25" customHeight="1"/>
    <row r="45" ht="25" customHeight="1"/>
    <row r="46" ht="25" customHeight="1"/>
    <row r="47" ht="25" customHeight="1"/>
    <row r="48" ht="25" customHeight="1"/>
    <row r="49" ht="25" customHeight="1"/>
    <row r="50" ht="25" customHeight="1"/>
    <row r="51" ht="25" customHeight="1"/>
    <row r="52" ht="25" customHeight="1"/>
    <row r="53" ht="25" customHeight="1"/>
    <row r="54" ht="25" customHeight="1"/>
    <row r="55" ht="25" customHeight="1"/>
    <row r="56" ht="25" customHeight="1"/>
    <row r="57" ht="25" customHeight="1"/>
    <row r="58" ht="25" customHeight="1"/>
    <row r="59" ht="25" customHeight="1"/>
    <row r="60" ht="25" customHeight="1"/>
    <row r="61" ht="25" customHeight="1"/>
    <row r="62" ht="25" customHeight="1"/>
    <row r="63" ht="25" customHeight="1"/>
    <row r="64" ht="25" customHeight="1"/>
    <row r="65" ht="25" customHeight="1"/>
    <row r="66" ht="25" customHeight="1"/>
    <row r="67" ht="25" customHeight="1"/>
    <row r="68" ht="25" customHeight="1"/>
    <row r="69" ht="25" customHeight="1"/>
    <row r="70" ht="25" customHeight="1"/>
    <row r="71" ht="25" customHeight="1"/>
    <row r="72" ht="25" customHeight="1"/>
    <row r="73" ht="25" customHeight="1"/>
  </sheetData>
  <mergeCells count="10">
    <mergeCell ref="A5:A11"/>
    <mergeCell ref="A12:A18"/>
    <mergeCell ref="A19:A23"/>
    <mergeCell ref="A24:A27"/>
    <mergeCell ref="A3:A4"/>
    <mergeCell ref="B3:B4"/>
    <mergeCell ref="C3:C4"/>
    <mergeCell ref="D3:F3"/>
    <mergeCell ref="G3:G4"/>
    <mergeCell ref="H3:J3"/>
  </mergeCells>
  <phoneticPr fontId="6"/>
  <pageMargins left="0.98425196850393704" right="0.78740157480314965" top="0.98425196850393704" bottom="0.78740157480314965" header="0.51181102362204722" footer="0.51181102362204722"/>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D4F814-8DD8-4B65-A33D-AD1BD05EA464}">
  <dimension ref="A1:O45"/>
  <sheetViews>
    <sheetView view="pageBreakPreview" zoomScaleNormal="100" zoomScaleSheetLayoutView="100" workbookViewId="0"/>
  </sheetViews>
  <sheetFormatPr defaultColWidth="7" defaultRowHeight="11"/>
  <cols>
    <col min="1" max="1" width="1.26953125" style="1996" customWidth="1"/>
    <col min="2" max="2" width="5.6328125" style="1995" customWidth="1"/>
    <col min="3" max="3" width="5.36328125" style="1995" customWidth="1"/>
    <col min="4" max="4" width="14.453125" style="1995" customWidth="1"/>
    <col min="5" max="12" width="7.453125" style="150" customWidth="1"/>
    <col min="13" max="13" width="7" style="150" customWidth="1"/>
    <col min="14" max="256" width="7" style="1995"/>
    <col min="257" max="257" width="1.26953125" style="1995" customWidth="1"/>
    <col min="258" max="258" width="5.6328125" style="1995" customWidth="1"/>
    <col min="259" max="259" width="3.36328125" style="1995" customWidth="1"/>
    <col min="260" max="260" width="14.453125" style="1995" customWidth="1"/>
    <col min="261" max="268" width="7.453125" style="1995" customWidth="1"/>
    <col min="269" max="269" width="7" style="1995" customWidth="1"/>
    <col min="270" max="512" width="7" style="1995"/>
    <col min="513" max="513" width="1.26953125" style="1995" customWidth="1"/>
    <col min="514" max="514" width="5.6328125" style="1995" customWidth="1"/>
    <col min="515" max="515" width="3.36328125" style="1995" customWidth="1"/>
    <col min="516" max="516" width="14.453125" style="1995" customWidth="1"/>
    <col min="517" max="524" width="7.453125" style="1995" customWidth="1"/>
    <col min="525" max="525" width="7" style="1995" customWidth="1"/>
    <col min="526" max="768" width="7" style="1995"/>
    <col min="769" max="769" width="1.26953125" style="1995" customWidth="1"/>
    <col min="770" max="770" width="5.6328125" style="1995" customWidth="1"/>
    <col min="771" max="771" width="3.36328125" style="1995" customWidth="1"/>
    <col min="772" max="772" width="14.453125" style="1995" customWidth="1"/>
    <col min="773" max="780" width="7.453125" style="1995" customWidth="1"/>
    <col min="781" max="781" width="7" style="1995" customWidth="1"/>
    <col min="782" max="1024" width="7" style="1995"/>
    <col min="1025" max="1025" width="1.26953125" style="1995" customWidth="1"/>
    <col min="1026" max="1026" width="5.6328125" style="1995" customWidth="1"/>
    <col min="1027" max="1027" width="3.36328125" style="1995" customWidth="1"/>
    <col min="1028" max="1028" width="14.453125" style="1995" customWidth="1"/>
    <col min="1029" max="1036" width="7.453125" style="1995" customWidth="1"/>
    <col min="1037" max="1037" width="7" style="1995" customWidth="1"/>
    <col min="1038" max="1280" width="7" style="1995"/>
    <col min="1281" max="1281" width="1.26953125" style="1995" customWidth="1"/>
    <col min="1282" max="1282" width="5.6328125" style="1995" customWidth="1"/>
    <col min="1283" max="1283" width="3.36328125" style="1995" customWidth="1"/>
    <col min="1284" max="1284" width="14.453125" style="1995" customWidth="1"/>
    <col min="1285" max="1292" width="7.453125" style="1995" customWidth="1"/>
    <col min="1293" max="1293" width="7" style="1995" customWidth="1"/>
    <col min="1294" max="1536" width="7" style="1995"/>
    <col min="1537" max="1537" width="1.26953125" style="1995" customWidth="1"/>
    <col min="1538" max="1538" width="5.6328125" style="1995" customWidth="1"/>
    <col min="1539" max="1539" width="3.36328125" style="1995" customWidth="1"/>
    <col min="1540" max="1540" width="14.453125" style="1995" customWidth="1"/>
    <col min="1541" max="1548" width="7.453125" style="1995" customWidth="1"/>
    <col min="1549" max="1549" width="7" style="1995" customWidth="1"/>
    <col min="1550" max="1792" width="7" style="1995"/>
    <col min="1793" max="1793" width="1.26953125" style="1995" customWidth="1"/>
    <col min="1794" max="1794" width="5.6328125" style="1995" customWidth="1"/>
    <col min="1795" max="1795" width="3.36328125" style="1995" customWidth="1"/>
    <col min="1796" max="1796" width="14.453125" style="1995" customWidth="1"/>
    <col min="1797" max="1804" width="7.453125" style="1995" customWidth="1"/>
    <col min="1805" max="1805" width="7" style="1995" customWidth="1"/>
    <col min="1806" max="2048" width="7" style="1995"/>
    <col min="2049" max="2049" width="1.26953125" style="1995" customWidth="1"/>
    <col min="2050" max="2050" width="5.6328125" style="1995" customWidth="1"/>
    <col min="2051" max="2051" width="3.36328125" style="1995" customWidth="1"/>
    <col min="2052" max="2052" width="14.453125" style="1995" customWidth="1"/>
    <col min="2053" max="2060" width="7.453125" style="1995" customWidth="1"/>
    <col min="2061" max="2061" width="7" style="1995" customWidth="1"/>
    <col min="2062" max="2304" width="7" style="1995"/>
    <col min="2305" max="2305" width="1.26953125" style="1995" customWidth="1"/>
    <col min="2306" max="2306" width="5.6328125" style="1995" customWidth="1"/>
    <col min="2307" max="2307" width="3.36328125" style="1995" customWidth="1"/>
    <col min="2308" max="2308" width="14.453125" style="1995" customWidth="1"/>
    <col min="2309" max="2316" width="7.453125" style="1995" customWidth="1"/>
    <col min="2317" max="2317" width="7" style="1995" customWidth="1"/>
    <col min="2318" max="2560" width="7" style="1995"/>
    <col min="2561" max="2561" width="1.26953125" style="1995" customWidth="1"/>
    <col min="2562" max="2562" width="5.6328125" style="1995" customWidth="1"/>
    <col min="2563" max="2563" width="3.36328125" style="1995" customWidth="1"/>
    <col min="2564" max="2564" width="14.453125" style="1995" customWidth="1"/>
    <col min="2565" max="2572" width="7.453125" style="1995" customWidth="1"/>
    <col min="2573" max="2573" width="7" style="1995" customWidth="1"/>
    <col min="2574" max="2816" width="7" style="1995"/>
    <col min="2817" max="2817" width="1.26953125" style="1995" customWidth="1"/>
    <col min="2818" max="2818" width="5.6328125" style="1995" customWidth="1"/>
    <col min="2819" max="2819" width="3.36328125" style="1995" customWidth="1"/>
    <col min="2820" max="2820" width="14.453125" style="1995" customWidth="1"/>
    <col min="2821" max="2828" width="7.453125" style="1995" customWidth="1"/>
    <col min="2829" max="2829" width="7" style="1995" customWidth="1"/>
    <col min="2830" max="3072" width="7" style="1995"/>
    <col min="3073" max="3073" width="1.26953125" style="1995" customWidth="1"/>
    <col min="3074" max="3074" width="5.6328125" style="1995" customWidth="1"/>
    <col min="3075" max="3075" width="3.36328125" style="1995" customWidth="1"/>
    <col min="3076" max="3076" width="14.453125" style="1995" customWidth="1"/>
    <col min="3077" max="3084" width="7.453125" style="1995" customWidth="1"/>
    <col min="3085" max="3085" width="7" style="1995" customWidth="1"/>
    <col min="3086" max="3328" width="7" style="1995"/>
    <col min="3329" max="3329" width="1.26953125" style="1995" customWidth="1"/>
    <col min="3330" max="3330" width="5.6328125" style="1995" customWidth="1"/>
    <col min="3331" max="3331" width="3.36328125" style="1995" customWidth="1"/>
    <col min="3332" max="3332" width="14.453125" style="1995" customWidth="1"/>
    <col min="3333" max="3340" width="7.453125" style="1995" customWidth="1"/>
    <col min="3341" max="3341" width="7" style="1995" customWidth="1"/>
    <col min="3342" max="3584" width="7" style="1995"/>
    <col min="3585" max="3585" width="1.26953125" style="1995" customWidth="1"/>
    <col min="3586" max="3586" width="5.6328125" style="1995" customWidth="1"/>
    <col min="3587" max="3587" width="3.36328125" style="1995" customWidth="1"/>
    <col min="3588" max="3588" width="14.453125" style="1995" customWidth="1"/>
    <col min="3589" max="3596" width="7.453125" style="1995" customWidth="1"/>
    <col min="3597" max="3597" width="7" style="1995" customWidth="1"/>
    <col min="3598" max="3840" width="7" style="1995"/>
    <col min="3841" max="3841" width="1.26953125" style="1995" customWidth="1"/>
    <col min="3842" max="3842" width="5.6328125" style="1995" customWidth="1"/>
    <col min="3843" max="3843" width="3.36328125" style="1995" customWidth="1"/>
    <col min="3844" max="3844" width="14.453125" style="1995" customWidth="1"/>
    <col min="3845" max="3852" width="7.453125" style="1995" customWidth="1"/>
    <col min="3853" max="3853" width="7" style="1995" customWidth="1"/>
    <col min="3854" max="4096" width="7" style="1995"/>
    <col min="4097" max="4097" width="1.26953125" style="1995" customWidth="1"/>
    <col min="4098" max="4098" width="5.6328125" style="1995" customWidth="1"/>
    <col min="4099" max="4099" width="3.36328125" style="1995" customWidth="1"/>
    <col min="4100" max="4100" width="14.453125" style="1995" customWidth="1"/>
    <col min="4101" max="4108" width="7.453125" style="1995" customWidth="1"/>
    <col min="4109" max="4109" width="7" style="1995" customWidth="1"/>
    <col min="4110" max="4352" width="7" style="1995"/>
    <col min="4353" max="4353" width="1.26953125" style="1995" customWidth="1"/>
    <col min="4354" max="4354" width="5.6328125" style="1995" customWidth="1"/>
    <col min="4355" max="4355" width="3.36328125" style="1995" customWidth="1"/>
    <col min="4356" max="4356" width="14.453125" style="1995" customWidth="1"/>
    <col min="4357" max="4364" width="7.453125" style="1995" customWidth="1"/>
    <col min="4365" max="4365" width="7" style="1995" customWidth="1"/>
    <col min="4366" max="4608" width="7" style="1995"/>
    <col min="4609" max="4609" width="1.26953125" style="1995" customWidth="1"/>
    <col min="4610" max="4610" width="5.6328125" style="1995" customWidth="1"/>
    <col min="4611" max="4611" width="3.36328125" style="1995" customWidth="1"/>
    <col min="4612" max="4612" width="14.453125" style="1995" customWidth="1"/>
    <col min="4613" max="4620" width="7.453125" style="1995" customWidth="1"/>
    <col min="4621" max="4621" width="7" style="1995" customWidth="1"/>
    <col min="4622" max="4864" width="7" style="1995"/>
    <col min="4865" max="4865" width="1.26953125" style="1995" customWidth="1"/>
    <col min="4866" max="4866" width="5.6328125" style="1995" customWidth="1"/>
    <col min="4867" max="4867" width="3.36328125" style="1995" customWidth="1"/>
    <col min="4868" max="4868" width="14.453125" style="1995" customWidth="1"/>
    <col min="4869" max="4876" width="7.453125" style="1995" customWidth="1"/>
    <col min="4877" max="4877" width="7" style="1995" customWidth="1"/>
    <col min="4878" max="5120" width="7" style="1995"/>
    <col min="5121" max="5121" width="1.26953125" style="1995" customWidth="1"/>
    <col min="5122" max="5122" width="5.6328125" style="1995" customWidth="1"/>
    <col min="5123" max="5123" width="3.36328125" style="1995" customWidth="1"/>
    <col min="5124" max="5124" width="14.453125" style="1995" customWidth="1"/>
    <col min="5125" max="5132" width="7.453125" style="1995" customWidth="1"/>
    <col min="5133" max="5133" width="7" style="1995" customWidth="1"/>
    <col min="5134" max="5376" width="7" style="1995"/>
    <col min="5377" max="5377" width="1.26953125" style="1995" customWidth="1"/>
    <col min="5378" max="5378" width="5.6328125" style="1995" customWidth="1"/>
    <col min="5379" max="5379" width="3.36328125" style="1995" customWidth="1"/>
    <col min="5380" max="5380" width="14.453125" style="1995" customWidth="1"/>
    <col min="5381" max="5388" width="7.453125" style="1995" customWidth="1"/>
    <col min="5389" max="5389" width="7" style="1995" customWidth="1"/>
    <col min="5390" max="5632" width="7" style="1995"/>
    <col min="5633" max="5633" width="1.26953125" style="1995" customWidth="1"/>
    <col min="5634" max="5634" width="5.6328125" style="1995" customWidth="1"/>
    <col min="5635" max="5635" width="3.36328125" style="1995" customWidth="1"/>
    <col min="5636" max="5636" width="14.453125" style="1995" customWidth="1"/>
    <col min="5637" max="5644" width="7.453125" style="1995" customWidth="1"/>
    <col min="5645" max="5645" width="7" style="1995" customWidth="1"/>
    <col min="5646" max="5888" width="7" style="1995"/>
    <col min="5889" max="5889" width="1.26953125" style="1995" customWidth="1"/>
    <col min="5890" max="5890" width="5.6328125" style="1995" customWidth="1"/>
    <col min="5891" max="5891" width="3.36328125" style="1995" customWidth="1"/>
    <col min="5892" max="5892" width="14.453125" style="1995" customWidth="1"/>
    <col min="5893" max="5900" width="7.453125" style="1995" customWidth="1"/>
    <col min="5901" max="5901" width="7" style="1995" customWidth="1"/>
    <col min="5902" max="6144" width="7" style="1995"/>
    <col min="6145" max="6145" width="1.26953125" style="1995" customWidth="1"/>
    <col min="6146" max="6146" width="5.6328125" style="1995" customWidth="1"/>
    <col min="6147" max="6147" width="3.36328125" style="1995" customWidth="1"/>
    <col min="6148" max="6148" width="14.453125" style="1995" customWidth="1"/>
    <col min="6149" max="6156" width="7.453125" style="1995" customWidth="1"/>
    <col min="6157" max="6157" width="7" style="1995" customWidth="1"/>
    <col min="6158" max="6400" width="7" style="1995"/>
    <col min="6401" max="6401" width="1.26953125" style="1995" customWidth="1"/>
    <col min="6402" max="6402" width="5.6328125" style="1995" customWidth="1"/>
    <col min="6403" max="6403" width="3.36328125" style="1995" customWidth="1"/>
    <col min="6404" max="6404" width="14.453125" style="1995" customWidth="1"/>
    <col min="6405" max="6412" width="7.453125" style="1995" customWidth="1"/>
    <col min="6413" max="6413" width="7" style="1995" customWidth="1"/>
    <col min="6414" max="6656" width="7" style="1995"/>
    <col min="6657" max="6657" width="1.26953125" style="1995" customWidth="1"/>
    <col min="6658" max="6658" width="5.6328125" style="1995" customWidth="1"/>
    <col min="6659" max="6659" width="3.36328125" style="1995" customWidth="1"/>
    <col min="6660" max="6660" width="14.453125" style="1995" customWidth="1"/>
    <col min="6661" max="6668" width="7.453125" style="1995" customWidth="1"/>
    <col min="6669" max="6669" width="7" style="1995" customWidth="1"/>
    <col min="6670" max="6912" width="7" style="1995"/>
    <col min="6913" max="6913" width="1.26953125" style="1995" customWidth="1"/>
    <col min="6914" max="6914" width="5.6328125" style="1995" customWidth="1"/>
    <col min="6915" max="6915" width="3.36328125" style="1995" customWidth="1"/>
    <col min="6916" max="6916" width="14.453125" style="1995" customWidth="1"/>
    <col min="6917" max="6924" width="7.453125" style="1995" customWidth="1"/>
    <col min="6925" max="6925" width="7" style="1995" customWidth="1"/>
    <col min="6926" max="7168" width="7" style="1995"/>
    <col min="7169" max="7169" width="1.26953125" style="1995" customWidth="1"/>
    <col min="7170" max="7170" width="5.6328125" style="1995" customWidth="1"/>
    <col min="7171" max="7171" width="3.36328125" style="1995" customWidth="1"/>
    <col min="7172" max="7172" width="14.453125" style="1995" customWidth="1"/>
    <col min="7173" max="7180" width="7.453125" style="1995" customWidth="1"/>
    <col min="7181" max="7181" width="7" style="1995" customWidth="1"/>
    <col min="7182" max="7424" width="7" style="1995"/>
    <col min="7425" max="7425" width="1.26953125" style="1995" customWidth="1"/>
    <col min="7426" max="7426" width="5.6328125" style="1995" customWidth="1"/>
    <col min="7427" max="7427" width="3.36328125" style="1995" customWidth="1"/>
    <col min="7428" max="7428" width="14.453125" style="1995" customWidth="1"/>
    <col min="7429" max="7436" width="7.453125" style="1995" customWidth="1"/>
    <col min="7437" max="7437" width="7" style="1995" customWidth="1"/>
    <col min="7438" max="7680" width="7" style="1995"/>
    <col min="7681" max="7681" width="1.26953125" style="1995" customWidth="1"/>
    <col min="7682" max="7682" width="5.6328125" style="1995" customWidth="1"/>
    <col min="7683" max="7683" width="3.36328125" style="1995" customWidth="1"/>
    <col min="7684" max="7684" width="14.453125" style="1995" customWidth="1"/>
    <col min="7685" max="7692" width="7.453125" style="1995" customWidth="1"/>
    <col min="7693" max="7693" width="7" style="1995" customWidth="1"/>
    <col min="7694" max="7936" width="7" style="1995"/>
    <col min="7937" max="7937" width="1.26953125" style="1995" customWidth="1"/>
    <col min="7938" max="7938" width="5.6328125" style="1995" customWidth="1"/>
    <col min="7939" max="7939" width="3.36328125" style="1995" customWidth="1"/>
    <col min="7940" max="7940" width="14.453125" style="1995" customWidth="1"/>
    <col min="7941" max="7948" width="7.453125" style="1995" customWidth="1"/>
    <col min="7949" max="7949" width="7" style="1995" customWidth="1"/>
    <col min="7950" max="8192" width="7" style="1995"/>
    <col min="8193" max="8193" width="1.26953125" style="1995" customWidth="1"/>
    <col min="8194" max="8194" width="5.6328125" style="1995" customWidth="1"/>
    <col min="8195" max="8195" width="3.36328125" style="1995" customWidth="1"/>
    <col min="8196" max="8196" width="14.453125" style="1995" customWidth="1"/>
    <col min="8197" max="8204" width="7.453125" style="1995" customWidth="1"/>
    <col min="8205" max="8205" width="7" style="1995" customWidth="1"/>
    <col min="8206" max="8448" width="7" style="1995"/>
    <col min="8449" max="8449" width="1.26953125" style="1995" customWidth="1"/>
    <col min="8450" max="8450" width="5.6328125" style="1995" customWidth="1"/>
    <col min="8451" max="8451" width="3.36328125" style="1995" customWidth="1"/>
    <col min="8452" max="8452" width="14.453125" style="1995" customWidth="1"/>
    <col min="8453" max="8460" width="7.453125" style="1995" customWidth="1"/>
    <col min="8461" max="8461" width="7" style="1995" customWidth="1"/>
    <col min="8462" max="8704" width="7" style="1995"/>
    <col min="8705" max="8705" width="1.26953125" style="1995" customWidth="1"/>
    <col min="8706" max="8706" width="5.6328125" style="1995" customWidth="1"/>
    <col min="8707" max="8707" width="3.36328125" style="1995" customWidth="1"/>
    <col min="8708" max="8708" width="14.453125" style="1995" customWidth="1"/>
    <col min="8709" max="8716" width="7.453125" style="1995" customWidth="1"/>
    <col min="8717" max="8717" width="7" style="1995" customWidth="1"/>
    <col min="8718" max="8960" width="7" style="1995"/>
    <col min="8961" max="8961" width="1.26953125" style="1995" customWidth="1"/>
    <col min="8962" max="8962" width="5.6328125" style="1995" customWidth="1"/>
    <col min="8963" max="8963" width="3.36328125" style="1995" customWidth="1"/>
    <col min="8964" max="8964" width="14.453125" style="1995" customWidth="1"/>
    <col min="8965" max="8972" width="7.453125" style="1995" customWidth="1"/>
    <col min="8973" max="8973" width="7" style="1995" customWidth="1"/>
    <col min="8974" max="9216" width="7" style="1995"/>
    <col min="9217" max="9217" width="1.26953125" style="1995" customWidth="1"/>
    <col min="9218" max="9218" width="5.6328125" style="1995" customWidth="1"/>
    <col min="9219" max="9219" width="3.36328125" style="1995" customWidth="1"/>
    <col min="9220" max="9220" width="14.453125" style="1995" customWidth="1"/>
    <col min="9221" max="9228" width="7.453125" style="1995" customWidth="1"/>
    <col min="9229" max="9229" width="7" style="1995" customWidth="1"/>
    <col min="9230" max="9472" width="7" style="1995"/>
    <col min="9473" max="9473" width="1.26953125" style="1995" customWidth="1"/>
    <col min="9474" max="9474" width="5.6328125" style="1995" customWidth="1"/>
    <col min="9475" max="9475" width="3.36328125" style="1995" customWidth="1"/>
    <col min="9476" max="9476" width="14.453125" style="1995" customWidth="1"/>
    <col min="9477" max="9484" width="7.453125" style="1995" customWidth="1"/>
    <col min="9485" max="9485" width="7" style="1995" customWidth="1"/>
    <col min="9486" max="9728" width="7" style="1995"/>
    <col min="9729" max="9729" width="1.26953125" style="1995" customWidth="1"/>
    <col min="9730" max="9730" width="5.6328125" style="1995" customWidth="1"/>
    <col min="9731" max="9731" width="3.36328125" style="1995" customWidth="1"/>
    <col min="9732" max="9732" width="14.453125" style="1995" customWidth="1"/>
    <col min="9733" max="9740" width="7.453125" style="1995" customWidth="1"/>
    <col min="9741" max="9741" width="7" style="1995" customWidth="1"/>
    <col min="9742" max="9984" width="7" style="1995"/>
    <col min="9985" max="9985" width="1.26953125" style="1995" customWidth="1"/>
    <col min="9986" max="9986" width="5.6328125" style="1995" customWidth="1"/>
    <col min="9987" max="9987" width="3.36328125" style="1995" customWidth="1"/>
    <col min="9988" max="9988" width="14.453125" style="1995" customWidth="1"/>
    <col min="9989" max="9996" width="7.453125" style="1995" customWidth="1"/>
    <col min="9997" max="9997" width="7" style="1995" customWidth="1"/>
    <col min="9998" max="10240" width="7" style="1995"/>
    <col min="10241" max="10241" width="1.26953125" style="1995" customWidth="1"/>
    <col min="10242" max="10242" width="5.6328125" style="1995" customWidth="1"/>
    <col min="10243" max="10243" width="3.36328125" style="1995" customWidth="1"/>
    <col min="10244" max="10244" width="14.453125" style="1995" customWidth="1"/>
    <col min="10245" max="10252" width="7.453125" style="1995" customWidth="1"/>
    <col min="10253" max="10253" width="7" style="1995" customWidth="1"/>
    <col min="10254" max="10496" width="7" style="1995"/>
    <col min="10497" max="10497" width="1.26953125" style="1995" customWidth="1"/>
    <col min="10498" max="10498" width="5.6328125" style="1995" customWidth="1"/>
    <col min="10499" max="10499" width="3.36328125" style="1995" customWidth="1"/>
    <col min="10500" max="10500" width="14.453125" style="1995" customWidth="1"/>
    <col min="10501" max="10508" width="7.453125" style="1995" customWidth="1"/>
    <col min="10509" max="10509" width="7" style="1995" customWidth="1"/>
    <col min="10510" max="10752" width="7" style="1995"/>
    <col min="10753" max="10753" width="1.26953125" style="1995" customWidth="1"/>
    <col min="10754" max="10754" width="5.6328125" style="1995" customWidth="1"/>
    <col min="10755" max="10755" width="3.36328125" style="1995" customWidth="1"/>
    <col min="10756" max="10756" width="14.453125" style="1995" customWidth="1"/>
    <col min="10757" max="10764" width="7.453125" style="1995" customWidth="1"/>
    <col min="10765" max="10765" width="7" style="1995" customWidth="1"/>
    <col min="10766" max="11008" width="7" style="1995"/>
    <col min="11009" max="11009" width="1.26953125" style="1995" customWidth="1"/>
    <col min="11010" max="11010" width="5.6328125" style="1995" customWidth="1"/>
    <col min="11011" max="11011" width="3.36328125" style="1995" customWidth="1"/>
    <col min="11012" max="11012" width="14.453125" style="1995" customWidth="1"/>
    <col min="11013" max="11020" width="7.453125" style="1995" customWidth="1"/>
    <col min="11021" max="11021" width="7" style="1995" customWidth="1"/>
    <col min="11022" max="11264" width="7" style="1995"/>
    <col min="11265" max="11265" width="1.26953125" style="1995" customWidth="1"/>
    <col min="11266" max="11266" width="5.6328125" style="1995" customWidth="1"/>
    <col min="11267" max="11267" width="3.36328125" style="1995" customWidth="1"/>
    <col min="11268" max="11268" width="14.453125" style="1995" customWidth="1"/>
    <col min="11269" max="11276" width="7.453125" style="1995" customWidth="1"/>
    <col min="11277" max="11277" width="7" style="1995" customWidth="1"/>
    <col min="11278" max="11520" width="7" style="1995"/>
    <col min="11521" max="11521" width="1.26953125" style="1995" customWidth="1"/>
    <col min="11522" max="11522" width="5.6328125" style="1995" customWidth="1"/>
    <col min="11523" max="11523" width="3.36328125" style="1995" customWidth="1"/>
    <col min="11524" max="11524" width="14.453125" style="1995" customWidth="1"/>
    <col min="11525" max="11532" width="7.453125" style="1995" customWidth="1"/>
    <col min="11533" max="11533" width="7" style="1995" customWidth="1"/>
    <col min="11534" max="11776" width="7" style="1995"/>
    <col min="11777" max="11777" width="1.26953125" style="1995" customWidth="1"/>
    <col min="11778" max="11778" width="5.6328125" style="1995" customWidth="1"/>
    <col min="11779" max="11779" width="3.36328125" style="1995" customWidth="1"/>
    <col min="11780" max="11780" width="14.453125" style="1995" customWidth="1"/>
    <col min="11781" max="11788" width="7.453125" style="1995" customWidth="1"/>
    <col min="11789" max="11789" width="7" style="1995" customWidth="1"/>
    <col min="11790" max="12032" width="7" style="1995"/>
    <col min="12033" max="12033" width="1.26953125" style="1995" customWidth="1"/>
    <col min="12034" max="12034" width="5.6328125" style="1995" customWidth="1"/>
    <col min="12035" max="12035" width="3.36328125" style="1995" customWidth="1"/>
    <col min="12036" max="12036" width="14.453125" style="1995" customWidth="1"/>
    <col min="12037" max="12044" width="7.453125" style="1995" customWidth="1"/>
    <col min="12045" max="12045" width="7" style="1995" customWidth="1"/>
    <col min="12046" max="12288" width="7" style="1995"/>
    <col min="12289" max="12289" width="1.26953125" style="1995" customWidth="1"/>
    <col min="12290" max="12290" width="5.6328125" style="1995" customWidth="1"/>
    <col min="12291" max="12291" width="3.36328125" style="1995" customWidth="1"/>
    <col min="12292" max="12292" width="14.453125" style="1995" customWidth="1"/>
    <col min="12293" max="12300" width="7.453125" style="1995" customWidth="1"/>
    <col min="12301" max="12301" width="7" style="1995" customWidth="1"/>
    <col min="12302" max="12544" width="7" style="1995"/>
    <col min="12545" max="12545" width="1.26953125" style="1995" customWidth="1"/>
    <col min="12546" max="12546" width="5.6328125" style="1995" customWidth="1"/>
    <col min="12547" max="12547" width="3.36328125" style="1995" customWidth="1"/>
    <col min="12548" max="12548" width="14.453125" style="1995" customWidth="1"/>
    <col min="12549" max="12556" width="7.453125" style="1995" customWidth="1"/>
    <col min="12557" max="12557" width="7" style="1995" customWidth="1"/>
    <col min="12558" max="12800" width="7" style="1995"/>
    <col min="12801" max="12801" width="1.26953125" style="1995" customWidth="1"/>
    <col min="12802" max="12802" width="5.6328125" style="1995" customWidth="1"/>
    <col min="12803" max="12803" width="3.36328125" style="1995" customWidth="1"/>
    <col min="12804" max="12804" width="14.453125" style="1995" customWidth="1"/>
    <col min="12805" max="12812" width="7.453125" style="1995" customWidth="1"/>
    <col min="12813" max="12813" width="7" style="1995" customWidth="1"/>
    <col min="12814" max="13056" width="7" style="1995"/>
    <col min="13057" max="13057" width="1.26953125" style="1995" customWidth="1"/>
    <col min="13058" max="13058" width="5.6328125" style="1995" customWidth="1"/>
    <col min="13059" max="13059" width="3.36328125" style="1995" customWidth="1"/>
    <col min="13060" max="13060" width="14.453125" style="1995" customWidth="1"/>
    <col min="13061" max="13068" width="7.453125" style="1995" customWidth="1"/>
    <col min="13069" max="13069" width="7" style="1995" customWidth="1"/>
    <col min="13070" max="13312" width="7" style="1995"/>
    <col min="13313" max="13313" width="1.26953125" style="1995" customWidth="1"/>
    <col min="13314" max="13314" width="5.6328125" style="1995" customWidth="1"/>
    <col min="13315" max="13315" width="3.36328125" style="1995" customWidth="1"/>
    <col min="13316" max="13316" width="14.453125" style="1995" customWidth="1"/>
    <col min="13317" max="13324" width="7.453125" style="1995" customWidth="1"/>
    <col min="13325" max="13325" width="7" style="1995" customWidth="1"/>
    <col min="13326" max="13568" width="7" style="1995"/>
    <col min="13569" max="13569" width="1.26953125" style="1995" customWidth="1"/>
    <col min="13570" max="13570" width="5.6328125" style="1995" customWidth="1"/>
    <col min="13571" max="13571" width="3.36328125" style="1995" customWidth="1"/>
    <col min="13572" max="13572" width="14.453125" style="1995" customWidth="1"/>
    <col min="13573" max="13580" width="7.453125" style="1995" customWidth="1"/>
    <col min="13581" max="13581" width="7" style="1995" customWidth="1"/>
    <col min="13582" max="13824" width="7" style="1995"/>
    <col min="13825" max="13825" width="1.26953125" style="1995" customWidth="1"/>
    <col min="13826" max="13826" width="5.6328125" style="1995" customWidth="1"/>
    <col min="13827" max="13827" width="3.36328125" style="1995" customWidth="1"/>
    <col min="13828" max="13828" width="14.453125" style="1995" customWidth="1"/>
    <col min="13829" max="13836" width="7.453125" style="1995" customWidth="1"/>
    <col min="13837" max="13837" width="7" style="1995" customWidth="1"/>
    <col min="13838" max="14080" width="7" style="1995"/>
    <col min="14081" max="14081" width="1.26953125" style="1995" customWidth="1"/>
    <col min="14082" max="14082" width="5.6328125" style="1995" customWidth="1"/>
    <col min="14083" max="14083" width="3.36328125" style="1995" customWidth="1"/>
    <col min="14084" max="14084" width="14.453125" style="1995" customWidth="1"/>
    <col min="14085" max="14092" width="7.453125" style="1995" customWidth="1"/>
    <col min="14093" max="14093" width="7" style="1995" customWidth="1"/>
    <col min="14094" max="14336" width="7" style="1995"/>
    <col min="14337" max="14337" width="1.26953125" style="1995" customWidth="1"/>
    <col min="14338" max="14338" width="5.6328125" style="1995" customWidth="1"/>
    <col min="14339" max="14339" width="3.36328125" style="1995" customWidth="1"/>
    <col min="14340" max="14340" width="14.453125" style="1995" customWidth="1"/>
    <col min="14341" max="14348" width="7.453125" style="1995" customWidth="1"/>
    <col min="14349" max="14349" width="7" style="1995" customWidth="1"/>
    <col min="14350" max="14592" width="7" style="1995"/>
    <col min="14593" max="14593" width="1.26953125" style="1995" customWidth="1"/>
    <col min="14594" max="14594" width="5.6328125" style="1995" customWidth="1"/>
    <col min="14595" max="14595" width="3.36328125" style="1995" customWidth="1"/>
    <col min="14596" max="14596" width="14.453125" style="1995" customWidth="1"/>
    <col min="14597" max="14604" width="7.453125" style="1995" customWidth="1"/>
    <col min="14605" max="14605" width="7" style="1995" customWidth="1"/>
    <col min="14606" max="14848" width="7" style="1995"/>
    <col min="14849" max="14849" width="1.26953125" style="1995" customWidth="1"/>
    <col min="14850" max="14850" width="5.6328125" style="1995" customWidth="1"/>
    <col min="14851" max="14851" width="3.36328125" style="1995" customWidth="1"/>
    <col min="14852" max="14852" width="14.453125" style="1995" customWidth="1"/>
    <col min="14853" max="14860" width="7.453125" style="1995" customWidth="1"/>
    <col min="14861" max="14861" width="7" style="1995" customWidth="1"/>
    <col min="14862" max="15104" width="7" style="1995"/>
    <col min="15105" max="15105" width="1.26953125" style="1995" customWidth="1"/>
    <col min="15106" max="15106" width="5.6328125" style="1995" customWidth="1"/>
    <col min="15107" max="15107" width="3.36328125" style="1995" customWidth="1"/>
    <col min="15108" max="15108" width="14.453125" style="1995" customWidth="1"/>
    <col min="15109" max="15116" width="7.453125" style="1995" customWidth="1"/>
    <col min="15117" max="15117" width="7" style="1995" customWidth="1"/>
    <col min="15118" max="15360" width="7" style="1995"/>
    <col min="15361" max="15361" width="1.26953125" style="1995" customWidth="1"/>
    <col min="15362" max="15362" width="5.6328125" style="1995" customWidth="1"/>
    <col min="15363" max="15363" width="3.36328125" style="1995" customWidth="1"/>
    <col min="15364" max="15364" width="14.453125" style="1995" customWidth="1"/>
    <col min="15365" max="15372" width="7.453125" style="1995" customWidth="1"/>
    <col min="15373" max="15373" width="7" style="1995" customWidth="1"/>
    <col min="15374" max="15616" width="7" style="1995"/>
    <col min="15617" max="15617" width="1.26953125" style="1995" customWidth="1"/>
    <col min="15618" max="15618" width="5.6328125" style="1995" customWidth="1"/>
    <col min="15619" max="15619" width="3.36328125" style="1995" customWidth="1"/>
    <col min="15620" max="15620" width="14.453125" style="1995" customWidth="1"/>
    <col min="15621" max="15628" width="7.453125" style="1995" customWidth="1"/>
    <col min="15629" max="15629" width="7" style="1995" customWidth="1"/>
    <col min="15630" max="15872" width="7" style="1995"/>
    <col min="15873" max="15873" width="1.26953125" style="1995" customWidth="1"/>
    <col min="15874" max="15874" width="5.6328125" style="1995" customWidth="1"/>
    <col min="15875" max="15875" width="3.36328125" style="1995" customWidth="1"/>
    <col min="15876" max="15876" width="14.453125" style="1995" customWidth="1"/>
    <col min="15877" max="15884" width="7.453125" style="1995" customWidth="1"/>
    <col min="15885" max="15885" width="7" style="1995" customWidth="1"/>
    <col min="15886" max="16128" width="7" style="1995"/>
    <col min="16129" max="16129" width="1.26953125" style="1995" customWidth="1"/>
    <col min="16130" max="16130" width="5.6328125" style="1995" customWidth="1"/>
    <col min="16131" max="16131" width="3.36328125" style="1995" customWidth="1"/>
    <col min="16132" max="16132" width="14.453125" style="1995" customWidth="1"/>
    <col min="16133" max="16140" width="7.453125" style="1995" customWidth="1"/>
    <col min="16141" max="16141" width="7" style="1995" customWidth="1"/>
    <col min="16142" max="16384" width="7" style="1995"/>
  </cols>
  <sheetData>
    <row r="1" spans="1:13" ht="25" customHeight="1">
      <c r="A1" s="1994"/>
      <c r="B1" s="1994" t="s">
        <v>523</v>
      </c>
      <c r="I1" s="151"/>
    </row>
    <row r="2" spans="1:13">
      <c r="D2" s="1997"/>
      <c r="E2" s="1998"/>
      <c r="F2" s="152"/>
      <c r="G2" s="152"/>
      <c r="H2" s="152"/>
      <c r="I2" s="153"/>
      <c r="J2" s="153"/>
      <c r="K2" s="152"/>
      <c r="L2" s="154"/>
      <c r="M2" s="1995"/>
    </row>
    <row r="3" spans="1:13" s="2001" customFormat="1" ht="11.25" customHeight="1">
      <c r="A3" s="1999"/>
      <c r="B3" s="2000" t="s">
        <v>495</v>
      </c>
      <c r="C3" s="2000" t="s">
        <v>496</v>
      </c>
      <c r="D3" s="2000" t="s">
        <v>497</v>
      </c>
      <c r="E3" s="849" t="s">
        <v>524</v>
      </c>
      <c r="F3" s="849"/>
      <c r="G3" s="849"/>
      <c r="H3" s="849"/>
      <c r="I3" s="849" t="s">
        <v>525</v>
      </c>
      <c r="J3" s="849"/>
      <c r="K3" s="849"/>
      <c r="L3" s="849"/>
    </row>
    <row r="4" spans="1:13" s="2001" customFormat="1" ht="11.25" customHeight="1">
      <c r="A4" s="1999"/>
      <c r="B4" s="2000"/>
      <c r="C4" s="2000"/>
      <c r="D4" s="2000"/>
      <c r="E4" s="786" t="s">
        <v>526</v>
      </c>
      <c r="F4" s="849" t="s">
        <v>70</v>
      </c>
      <c r="G4" s="849"/>
      <c r="H4" s="849" t="s">
        <v>34</v>
      </c>
      <c r="I4" s="849" t="s">
        <v>168</v>
      </c>
      <c r="J4" s="849" t="s">
        <v>170</v>
      </c>
      <c r="K4" s="849" t="s">
        <v>527</v>
      </c>
      <c r="L4" s="849" t="s">
        <v>528</v>
      </c>
    </row>
    <row r="5" spans="1:13" s="2001" customFormat="1">
      <c r="A5" s="1999"/>
      <c r="B5" s="2000"/>
      <c r="C5" s="2000"/>
      <c r="D5" s="2000"/>
      <c r="E5" s="786" t="s">
        <v>529</v>
      </c>
      <c r="F5" s="786" t="s">
        <v>530</v>
      </c>
      <c r="G5" s="786" t="s">
        <v>531</v>
      </c>
      <c r="H5" s="849"/>
      <c r="I5" s="849"/>
      <c r="J5" s="849"/>
      <c r="K5" s="849"/>
      <c r="L5" s="849"/>
    </row>
    <row r="6" spans="1:13" s="2005" customFormat="1" ht="25" customHeight="1">
      <c r="A6" s="2002"/>
      <c r="B6" s="2003" t="s">
        <v>507</v>
      </c>
      <c r="C6" s="2004">
        <v>501</v>
      </c>
      <c r="D6" s="2003" t="s">
        <v>508</v>
      </c>
      <c r="E6" s="155">
        <v>0</v>
      </c>
      <c r="F6" s="155">
        <v>1149</v>
      </c>
      <c r="G6" s="155">
        <v>5488</v>
      </c>
      <c r="H6" s="156">
        <f>SUM(E6:G6)</f>
        <v>6637</v>
      </c>
      <c r="I6" s="156">
        <v>6347</v>
      </c>
      <c r="J6" s="156">
        <v>290</v>
      </c>
      <c r="K6" s="156">
        <f>SUM(I6:J6)</f>
        <v>6637</v>
      </c>
      <c r="L6" s="155">
        <v>3976</v>
      </c>
    </row>
    <row r="7" spans="1:13" s="2005" customFormat="1" ht="25" customHeight="1">
      <c r="A7" s="2002"/>
      <c r="B7" s="2003" t="s">
        <v>512</v>
      </c>
      <c r="C7" s="2004">
        <v>504</v>
      </c>
      <c r="D7" s="2003" t="s">
        <v>513</v>
      </c>
      <c r="E7" s="155">
        <v>14110</v>
      </c>
      <c r="F7" s="155">
        <v>0</v>
      </c>
      <c r="G7" s="155">
        <v>0</v>
      </c>
      <c r="H7" s="156">
        <f>SUM(E7:G7)</f>
        <v>14110</v>
      </c>
      <c r="I7" s="156">
        <v>0</v>
      </c>
      <c r="J7" s="156">
        <v>13781</v>
      </c>
      <c r="K7" s="156">
        <f t="shared" ref="K7:K9" si="0">SUM(I7:J7)</f>
        <v>13781</v>
      </c>
      <c r="L7" s="155">
        <v>0</v>
      </c>
    </row>
    <row r="8" spans="1:13" s="2005" customFormat="1" ht="25" customHeight="1">
      <c r="A8" s="2002"/>
      <c r="B8" s="2003" t="s">
        <v>516</v>
      </c>
      <c r="C8" s="2004">
        <v>502</v>
      </c>
      <c r="D8" s="2003" t="s">
        <v>517</v>
      </c>
      <c r="E8" s="155">
        <v>29859</v>
      </c>
      <c r="F8" s="155">
        <v>0</v>
      </c>
      <c r="G8" s="155">
        <v>0</v>
      </c>
      <c r="H8" s="156">
        <f>SUM(E8:G8)</f>
        <v>29859</v>
      </c>
      <c r="I8" s="156">
        <v>0</v>
      </c>
      <c r="J8" s="156">
        <v>29561</v>
      </c>
      <c r="K8" s="156">
        <f t="shared" si="0"/>
        <v>29561</v>
      </c>
      <c r="L8" s="155">
        <v>1418</v>
      </c>
    </row>
    <row r="9" spans="1:13" s="2005" customFormat="1" ht="25" customHeight="1">
      <c r="A9" s="2002"/>
      <c r="B9" s="2003" t="s">
        <v>520</v>
      </c>
      <c r="C9" s="2004">
        <v>503</v>
      </c>
      <c r="D9" s="2003" t="s">
        <v>521</v>
      </c>
      <c r="E9" s="155">
        <v>0</v>
      </c>
      <c r="F9" s="155">
        <v>0</v>
      </c>
      <c r="G9" s="155">
        <v>0</v>
      </c>
      <c r="H9" s="156">
        <f>SUM(E9:G9)</f>
        <v>0</v>
      </c>
      <c r="I9" s="156">
        <v>0</v>
      </c>
      <c r="J9" s="156">
        <v>0</v>
      </c>
      <c r="K9" s="156">
        <f t="shared" si="0"/>
        <v>0</v>
      </c>
      <c r="L9" s="155">
        <v>0</v>
      </c>
    </row>
    <row r="10" spans="1:13" s="2005" customFormat="1" ht="25" customHeight="1">
      <c r="A10" s="2002"/>
      <c r="B10" s="2006" t="s">
        <v>34</v>
      </c>
      <c r="C10" s="2006"/>
      <c r="D10" s="2006"/>
      <c r="E10" s="157">
        <f t="shared" ref="E10:L10" si="1">+SUM(E6:E9)</f>
        <v>43969</v>
      </c>
      <c r="F10" s="157">
        <f t="shared" si="1"/>
        <v>1149</v>
      </c>
      <c r="G10" s="157">
        <f t="shared" si="1"/>
        <v>5488</v>
      </c>
      <c r="H10" s="157">
        <f t="shared" si="1"/>
        <v>50606</v>
      </c>
      <c r="I10" s="157">
        <f t="shared" si="1"/>
        <v>6347</v>
      </c>
      <c r="J10" s="157">
        <f t="shared" si="1"/>
        <v>43632</v>
      </c>
      <c r="K10" s="157">
        <f t="shared" si="1"/>
        <v>49979</v>
      </c>
      <c r="L10" s="157">
        <f t="shared" si="1"/>
        <v>5394</v>
      </c>
    </row>
    <row r="11" spans="1:13" s="2005" customFormat="1">
      <c r="A11" s="2002"/>
      <c r="E11" s="158"/>
      <c r="F11" s="158"/>
      <c r="G11" s="158"/>
      <c r="H11" s="158"/>
      <c r="I11" s="159"/>
      <c r="J11" s="159"/>
      <c r="K11" s="160"/>
      <c r="L11" s="160"/>
      <c r="M11" s="160"/>
    </row>
    <row r="12" spans="1:13" s="2005" customFormat="1" ht="11.25" customHeight="1">
      <c r="A12" s="1999"/>
      <c r="B12" s="2000" t="s">
        <v>495</v>
      </c>
      <c r="C12" s="2000" t="s">
        <v>496</v>
      </c>
      <c r="D12" s="2000" t="s">
        <v>497</v>
      </c>
      <c r="E12" s="849" t="s">
        <v>532</v>
      </c>
      <c r="F12" s="849"/>
      <c r="G12" s="849"/>
      <c r="H12" s="849" t="s">
        <v>533</v>
      </c>
      <c r="I12" s="849"/>
      <c r="J12" s="849"/>
      <c r="K12" s="849" t="s">
        <v>534</v>
      </c>
      <c r="L12" s="849"/>
      <c r="M12" s="849"/>
    </row>
    <row r="13" spans="1:13" s="2005" customFormat="1" ht="11.25" customHeight="1">
      <c r="A13" s="1999"/>
      <c r="B13" s="2000"/>
      <c r="C13" s="2000"/>
      <c r="D13" s="2000"/>
      <c r="E13" s="849" t="s">
        <v>535</v>
      </c>
      <c r="F13" s="849" t="s">
        <v>536</v>
      </c>
      <c r="G13" s="849" t="s">
        <v>537</v>
      </c>
      <c r="H13" s="849" t="s">
        <v>538</v>
      </c>
      <c r="I13" s="849" t="s">
        <v>539</v>
      </c>
      <c r="J13" s="849" t="s">
        <v>540</v>
      </c>
      <c r="K13" s="849" t="s">
        <v>541</v>
      </c>
      <c r="L13" s="849" t="s">
        <v>542</v>
      </c>
      <c r="M13" s="849" t="s">
        <v>543</v>
      </c>
    </row>
    <row r="14" spans="1:13" s="2005" customFormat="1" ht="24" customHeight="1">
      <c r="A14" s="1999"/>
      <c r="B14" s="2000"/>
      <c r="C14" s="2000"/>
      <c r="D14" s="2000"/>
      <c r="E14" s="849"/>
      <c r="F14" s="849"/>
      <c r="G14" s="849"/>
      <c r="H14" s="849"/>
      <c r="I14" s="849"/>
      <c r="J14" s="849"/>
      <c r="K14" s="849"/>
      <c r="L14" s="849"/>
      <c r="M14" s="849"/>
    </row>
    <row r="15" spans="1:13" s="2005" customFormat="1" ht="25" customHeight="1">
      <c r="A15" s="2002"/>
      <c r="B15" s="2003" t="s">
        <v>507</v>
      </c>
      <c r="C15" s="2004">
        <v>501</v>
      </c>
      <c r="D15" s="2003" t="s">
        <v>508</v>
      </c>
      <c r="E15" s="155">
        <v>6637</v>
      </c>
      <c r="F15" s="155">
        <v>6567</v>
      </c>
      <c r="G15" s="155">
        <v>6534</v>
      </c>
      <c r="H15" s="155">
        <v>25000</v>
      </c>
      <c r="I15" s="155">
        <v>20363</v>
      </c>
      <c r="J15" s="155">
        <v>18184</v>
      </c>
      <c r="K15" s="161">
        <f>ROUND(F15/E15*100,1)</f>
        <v>98.9</v>
      </c>
      <c r="L15" s="161">
        <f>ROUND(G15/E15*100,1)</f>
        <v>98.4</v>
      </c>
      <c r="M15" s="161">
        <f>ROUND(J15/I15*100,1)</f>
        <v>89.3</v>
      </c>
    </row>
    <row r="16" spans="1:13" s="2005" customFormat="1" ht="25" customHeight="1">
      <c r="A16" s="2002"/>
      <c r="B16" s="2003" t="s">
        <v>512</v>
      </c>
      <c r="C16" s="2004">
        <v>504</v>
      </c>
      <c r="D16" s="2003" t="s">
        <v>513</v>
      </c>
      <c r="E16" s="155">
        <v>13736</v>
      </c>
      <c r="F16" s="155">
        <v>13736</v>
      </c>
      <c r="G16" s="155">
        <v>13736</v>
      </c>
      <c r="H16" s="155">
        <v>46500</v>
      </c>
      <c r="I16" s="155">
        <v>40307</v>
      </c>
      <c r="J16" s="155">
        <v>37633</v>
      </c>
      <c r="K16" s="161">
        <f>ROUND(F16/E16*100,1)</f>
        <v>100</v>
      </c>
      <c r="L16" s="161">
        <f>ROUND(G16/E16*100,1)</f>
        <v>100</v>
      </c>
      <c r="M16" s="161">
        <f>ROUND(J16/I16*100,1)</f>
        <v>93.4</v>
      </c>
    </row>
    <row r="17" spans="1:13" s="2005" customFormat="1" ht="25" customHeight="1">
      <c r="A17" s="2002"/>
      <c r="B17" s="2003" t="s">
        <v>516</v>
      </c>
      <c r="C17" s="2004">
        <v>502</v>
      </c>
      <c r="D17" s="2003" t="s">
        <v>517</v>
      </c>
      <c r="E17" s="155">
        <v>29374</v>
      </c>
      <c r="F17" s="155">
        <v>29374</v>
      </c>
      <c r="G17" s="155">
        <v>29374</v>
      </c>
      <c r="H17" s="155">
        <v>81000</v>
      </c>
      <c r="I17" s="155">
        <v>80991</v>
      </c>
      <c r="J17" s="155">
        <v>80477</v>
      </c>
      <c r="K17" s="161">
        <f>ROUND(F17/E17*100,1)</f>
        <v>100</v>
      </c>
      <c r="L17" s="161">
        <f>ROUND(G17/E17*100,1)</f>
        <v>100</v>
      </c>
      <c r="M17" s="161">
        <f>ROUND(J17/I17*100,1)</f>
        <v>99.4</v>
      </c>
    </row>
    <row r="18" spans="1:13" s="2005" customFormat="1" ht="25" customHeight="1">
      <c r="A18" s="2002"/>
      <c r="B18" s="2003" t="s">
        <v>520</v>
      </c>
      <c r="C18" s="2004">
        <v>503</v>
      </c>
      <c r="D18" s="2003" t="s">
        <v>521</v>
      </c>
      <c r="E18" s="155">
        <v>0</v>
      </c>
      <c r="F18" s="155">
        <v>0</v>
      </c>
      <c r="G18" s="155">
        <v>0</v>
      </c>
      <c r="H18" s="155">
        <v>17000</v>
      </c>
      <c r="I18" s="155">
        <v>0</v>
      </c>
      <c r="J18" s="155">
        <v>0</v>
      </c>
      <c r="K18" s="161">
        <v>0</v>
      </c>
      <c r="L18" s="161">
        <v>0</v>
      </c>
      <c r="M18" s="161">
        <v>0</v>
      </c>
    </row>
    <row r="19" spans="1:13" s="2005" customFormat="1" ht="24.75" customHeight="1">
      <c r="A19" s="2002"/>
      <c r="B19" s="2000" t="s">
        <v>34</v>
      </c>
      <c r="C19" s="2000"/>
      <c r="D19" s="2000"/>
      <c r="E19" s="157">
        <f t="shared" ref="E19:J19" si="2">+SUM(E15:E18)</f>
        <v>49747</v>
      </c>
      <c r="F19" s="157">
        <f t="shared" si="2"/>
        <v>49677</v>
      </c>
      <c r="G19" s="157">
        <f t="shared" si="2"/>
        <v>49644</v>
      </c>
      <c r="H19" s="157">
        <f t="shared" si="2"/>
        <v>169500</v>
      </c>
      <c r="I19" s="157">
        <f t="shared" si="2"/>
        <v>141661</v>
      </c>
      <c r="J19" s="157">
        <f t="shared" si="2"/>
        <v>136294</v>
      </c>
      <c r="K19" s="162">
        <f>+ROUND(F19/E19*100,1)</f>
        <v>99.9</v>
      </c>
      <c r="L19" s="162">
        <f>+ROUND(G19/E19*100,1)</f>
        <v>99.8</v>
      </c>
      <c r="M19" s="162">
        <f>+ROUND(J19/I19*100,1)</f>
        <v>96.2</v>
      </c>
    </row>
    <row r="20" spans="1:13" s="2005" customFormat="1">
      <c r="A20" s="2002"/>
      <c r="E20" s="2007"/>
      <c r="F20" s="159"/>
      <c r="G20" s="159"/>
      <c r="H20" s="159"/>
      <c r="I20" s="159"/>
      <c r="J20" s="159"/>
      <c r="K20" s="163"/>
      <c r="L20" s="163"/>
      <c r="M20" s="163"/>
    </row>
    <row r="21" spans="1:13" s="2005" customFormat="1" ht="11.25" customHeight="1">
      <c r="A21" s="2002"/>
      <c r="B21" s="2000" t="s">
        <v>495</v>
      </c>
      <c r="C21" s="2000" t="s">
        <v>496</v>
      </c>
      <c r="D21" s="2000" t="s">
        <v>497</v>
      </c>
      <c r="E21" s="849" t="s">
        <v>544</v>
      </c>
      <c r="F21" s="849"/>
      <c r="G21" s="849"/>
      <c r="H21" s="849"/>
      <c r="I21" s="849"/>
      <c r="J21" s="849"/>
      <c r="K21" s="849"/>
    </row>
    <row r="22" spans="1:13" s="2005" customFormat="1" ht="11.25" customHeight="1">
      <c r="A22" s="2002"/>
      <c r="B22" s="2000"/>
      <c r="C22" s="2000"/>
      <c r="D22" s="2000"/>
      <c r="E22" s="833" t="s">
        <v>545</v>
      </c>
      <c r="F22" s="841" t="s">
        <v>546</v>
      </c>
      <c r="G22" s="842"/>
      <c r="H22" s="841" t="s">
        <v>547</v>
      </c>
      <c r="I22" s="845"/>
      <c r="J22" s="791"/>
      <c r="K22" s="164"/>
    </row>
    <row r="23" spans="1:13" s="2005" customFormat="1">
      <c r="A23" s="2002"/>
      <c r="B23" s="2000"/>
      <c r="C23" s="2000"/>
      <c r="D23" s="2000"/>
      <c r="E23" s="840"/>
      <c r="F23" s="843"/>
      <c r="G23" s="844"/>
      <c r="H23" s="843"/>
      <c r="I23" s="846"/>
      <c r="J23" s="847" t="s">
        <v>548</v>
      </c>
      <c r="K23" s="848"/>
    </row>
    <row r="24" spans="1:13" s="2005" customFormat="1" ht="11.25" customHeight="1">
      <c r="A24" s="2002"/>
      <c r="B24" s="2000"/>
      <c r="C24" s="2000"/>
      <c r="D24" s="2000"/>
      <c r="E24" s="840"/>
      <c r="F24" s="849" t="s">
        <v>549</v>
      </c>
      <c r="G24" s="850" t="s">
        <v>550</v>
      </c>
      <c r="H24" s="849" t="s">
        <v>549</v>
      </c>
      <c r="I24" s="850" t="s">
        <v>550</v>
      </c>
      <c r="J24" s="849" t="s">
        <v>549</v>
      </c>
      <c r="K24" s="850" t="s">
        <v>550</v>
      </c>
    </row>
    <row r="25" spans="1:13" s="2005" customFormat="1">
      <c r="A25" s="2002"/>
      <c r="B25" s="2000"/>
      <c r="C25" s="2000"/>
      <c r="D25" s="2000"/>
      <c r="E25" s="834"/>
      <c r="F25" s="849"/>
      <c r="G25" s="850"/>
      <c r="H25" s="849"/>
      <c r="I25" s="850"/>
      <c r="J25" s="849"/>
      <c r="K25" s="850"/>
    </row>
    <row r="26" spans="1:13" s="2005" customFormat="1" ht="25" customHeight="1">
      <c r="A26" s="2002"/>
      <c r="B26" s="2003" t="s">
        <v>507</v>
      </c>
      <c r="C26" s="2004">
        <v>501</v>
      </c>
      <c r="D26" s="2003" t="s">
        <v>508</v>
      </c>
      <c r="E26" s="155">
        <f>F26+H26+J26</f>
        <v>25000</v>
      </c>
      <c r="F26" s="155">
        <v>25000</v>
      </c>
      <c r="G26" s="161">
        <f>F26/$E26*100</f>
        <v>100</v>
      </c>
      <c r="H26" s="155">
        <v>0</v>
      </c>
      <c r="I26" s="161">
        <f>H26/$E26*100</f>
        <v>0</v>
      </c>
      <c r="J26" s="155">
        <v>0</v>
      </c>
      <c r="K26" s="161">
        <f>J26/$E26*100</f>
        <v>0</v>
      </c>
    </row>
    <row r="27" spans="1:13" s="2005" customFormat="1" ht="25" customHeight="1">
      <c r="A27" s="2002"/>
      <c r="B27" s="2003" t="s">
        <v>512</v>
      </c>
      <c r="C27" s="2004">
        <v>504</v>
      </c>
      <c r="D27" s="2003" t="s">
        <v>513</v>
      </c>
      <c r="E27" s="155">
        <f>F27+H27+J27</f>
        <v>46500</v>
      </c>
      <c r="F27" s="155">
        <v>0</v>
      </c>
      <c r="G27" s="161">
        <f>F27/$E27*100</f>
        <v>0</v>
      </c>
      <c r="H27" s="155">
        <v>46500</v>
      </c>
      <c r="I27" s="161">
        <f>H27/$E27*100</f>
        <v>100</v>
      </c>
      <c r="J27" s="155">
        <v>0</v>
      </c>
      <c r="K27" s="161">
        <f>J27/$E27*100</f>
        <v>0</v>
      </c>
      <c r="M27" s="165"/>
    </row>
    <row r="28" spans="1:13" s="2005" customFormat="1" ht="25" customHeight="1">
      <c r="A28" s="2002"/>
      <c r="B28" s="2003" t="s">
        <v>516</v>
      </c>
      <c r="C28" s="2004">
        <v>502</v>
      </c>
      <c r="D28" s="2003" t="s">
        <v>517</v>
      </c>
      <c r="E28" s="155">
        <f>F28+H28+J28</f>
        <v>86400</v>
      </c>
      <c r="F28" s="155">
        <v>0</v>
      </c>
      <c r="G28" s="161">
        <f>F28/$E28*100</f>
        <v>0</v>
      </c>
      <c r="H28" s="155">
        <v>86400</v>
      </c>
      <c r="I28" s="161">
        <f>H28/$E28*100</f>
        <v>100</v>
      </c>
      <c r="J28" s="155">
        <v>0</v>
      </c>
      <c r="K28" s="161">
        <f>J28/$E28*100</f>
        <v>0</v>
      </c>
    </row>
    <row r="29" spans="1:13" ht="25" customHeight="1">
      <c r="B29" s="2003" t="s">
        <v>520</v>
      </c>
      <c r="C29" s="2004">
        <v>503</v>
      </c>
      <c r="D29" s="2003" t="s">
        <v>521</v>
      </c>
      <c r="E29" s="155">
        <f>F29+H29+J29</f>
        <v>0</v>
      </c>
      <c r="F29" s="155">
        <v>0</v>
      </c>
      <c r="G29" s="166" t="s">
        <v>76</v>
      </c>
      <c r="H29" s="155">
        <v>0</v>
      </c>
      <c r="I29" s="166" t="s">
        <v>76</v>
      </c>
      <c r="J29" s="155">
        <v>0</v>
      </c>
      <c r="K29" s="167" t="s">
        <v>76</v>
      </c>
      <c r="L29" s="1995"/>
      <c r="M29" s="1995"/>
    </row>
    <row r="30" spans="1:13" ht="25" customHeight="1">
      <c r="B30" s="2006" t="s">
        <v>34</v>
      </c>
      <c r="C30" s="2006"/>
      <c r="D30" s="2006"/>
      <c r="E30" s="157">
        <f>F30+H30+J30</f>
        <v>157900</v>
      </c>
      <c r="F30" s="157">
        <f>+SUM(F26:F29)</f>
        <v>25000</v>
      </c>
      <c r="G30" s="162">
        <f>F30/$E30*100</f>
        <v>15.832805573147562</v>
      </c>
      <c r="H30" s="157">
        <f>+SUM(H26:H29)</f>
        <v>132900</v>
      </c>
      <c r="I30" s="162">
        <f>H30/$E30*100</f>
        <v>84.167194426852447</v>
      </c>
      <c r="J30" s="157">
        <f>+SUM(J26:J29)</f>
        <v>0</v>
      </c>
      <c r="K30" s="162">
        <f>J30/$E30*100</f>
        <v>0</v>
      </c>
      <c r="L30" s="1995"/>
      <c r="M30" s="1995"/>
    </row>
    <row r="32" spans="1:13" ht="11.25" customHeight="1">
      <c r="B32" s="2008" t="s">
        <v>495</v>
      </c>
      <c r="C32" s="2008" t="s">
        <v>496</v>
      </c>
      <c r="D32" s="2008" t="s">
        <v>497</v>
      </c>
      <c r="E32" s="837" t="s">
        <v>551</v>
      </c>
      <c r="F32" s="838"/>
      <c r="G32" s="838"/>
      <c r="H32" s="838"/>
      <c r="I32" s="838"/>
      <c r="J32" s="838"/>
      <c r="K32" s="838"/>
      <c r="L32" s="838"/>
      <c r="M32" s="839"/>
    </row>
    <row r="33" spans="2:15" ht="11.25" customHeight="1">
      <c r="B33" s="2009"/>
      <c r="C33" s="2009"/>
      <c r="D33" s="2009"/>
      <c r="E33" s="833" t="s">
        <v>552</v>
      </c>
      <c r="F33" s="841" t="s">
        <v>553</v>
      </c>
      <c r="G33" s="842"/>
      <c r="H33" s="841" t="s">
        <v>554</v>
      </c>
      <c r="I33" s="842"/>
      <c r="J33" s="841" t="s">
        <v>555</v>
      </c>
      <c r="K33" s="845"/>
      <c r="L33" s="790"/>
      <c r="M33" s="168"/>
    </row>
    <row r="34" spans="2:15">
      <c r="B34" s="2009"/>
      <c r="C34" s="2009"/>
      <c r="D34" s="2009"/>
      <c r="E34" s="840"/>
      <c r="F34" s="843"/>
      <c r="G34" s="844"/>
      <c r="H34" s="843"/>
      <c r="I34" s="844"/>
      <c r="J34" s="843"/>
      <c r="K34" s="846"/>
      <c r="L34" s="847" t="s">
        <v>548</v>
      </c>
      <c r="M34" s="848"/>
    </row>
    <row r="35" spans="2:15" ht="11.25" customHeight="1">
      <c r="B35" s="2009"/>
      <c r="C35" s="2009"/>
      <c r="D35" s="2009"/>
      <c r="E35" s="840"/>
      <c r="F35" s="833" t="s">
        <v>556</v>
      </c>
      <c r="G35" s="835" t="s">
        <v>550</v>
      </c>
      <c r="H35" s="833" t="s">
        <v>556</v>
      </c>
      <c r="I35" s="835" t="s">
        <v>550</v>
      </c>
      <c r="J35" s="833" t="s">
        <v>556</v>
      </c>
      <c r="K35" s="835" t="s">
        <v>550</v>
      </c>
      <c r="L35" s="833" t="s">
        <v>556</v>
      </c>
      <c r="M35" s="835" t="s">
        <v>550</v>
      </c>
    </row>
    <row r="36" spans="2:15">
      <c r="B36" s="2010"/>
      <c r="C36" s="2010"/>
      <c r="D36" s="2010"/>
      <c r="E36" s="834"/>
      <c r="F36" s="834"/>
      <c r="G36" s="836"/>
      <c r="H36" s="834"/>
      <c r="I36" s="836"/>
      <c r="J36" s="834"/>
      <c r="K36" s="836"/>
      <c r="L36" s="834"/>
      <c r="M36" s="836"/>
    </row>
    <row r="37" spans="2:15" ht="25" customHeight="1">
      <c r="B37" s="2003" t="s">
        <v>507</v>
      </c>
      <c r="C37" s="2004">
        <v>501</v>
      </c>
      <c r="D37" s="2003" t="s">
        <v>508</v>
      </c>
      <c r="E37" s="155">
        <v>12500</v>
      </c>
      <c r="F37" s="155">
        <v>12500</v>
      </c>
      <c r="G37" s="161">
        <f>F37/$E37*100</f>
        <v>100</v>
      </c>
      <c r="H37" s="155">
        <v>12500</v>
      </c>
      <c r="I37" s="161">
        <f>H37/$E37*100</f>
        <v>100</v>
      </c>
      <c r="J37" s="155">
        <v>0</v>
      </c>
      <c r="K37" s="161">
        <f>J37/$E37*100</f>
        <v>0</v>
      </c>
      <c r="L37" s="155">
        <v>0</v>
      </c>
      <c r="M37" s="161">
        <f>L37/$E37*100</f>
        <v>0</v>
      </c>
    </row>
    <row r="38" spans="2:15" ht="25" customHeight="1">
      <c r="B38" s="2003" t="s">
        <v>512</v>
      </c>
      <c r="C38" s="2004">
        <v>504</v>
      </c>
      <c r="D38" s="2003" t="s">
        <v>513</v>
      </c>
      <c r="E38" s="155">
        <v>9800</v>
      </c>
      <c r="F38" s="155">
        <v>2400</v>
      </c>
      <c r="G38" s="161">
        <f>F38/$E38*100</f>
        <v>24.489795918367346</v>
      </c>
      <c r="H38" s="155">
        <v>2400</v>
      </c>
      <c r="I38" s="161">
        <f>H38/$E38*100</f>
        <v>24.489795918367346</v>
      </c>
      <c r="J38" s="155">
        <v>7400</v>
      </c>
      <c r="K38" s="161">
        <f>J38/$E38*100</f>
        <v>75.510204081632651</v>
      </c>
      <c r="L38" s="155">
        <v>0</v>
      </c>
      <c r="M38" s="161">
        <f>L38/$E38*100</f>
        <v>0</v>
      </c>
      <c r="O38" s="169"/>
    </row>
    <row r="39" spans="2:15" ht="25" customHeight="1">
      <c r="B39" s="2003" t="s">
        <v>516</v>
      </c>
      <c r="C39" s="2004">
        <v>502</v>
      </c>
      <c r="D39" s="2003" t="s">
        <v>517</v>
      </c>
      <c r="E39" s="155">
        <v>0</v>
      </c>
      <c r="F39" s="155">
        <v>0</v>
      </c>
      <c r="G39" s="167" t="s">
        <v>76</v>
      </c>
      <c r="H39" s="155">
        <v>0</v>
      </c>
      <c r="I39" s="167" t="s">
        <v>76</v>
      </c>
      <c r="J39" s="155">
        <v>0</v>
      </c>
      <c r="K39" s="167" t="s">
        <v>493</v>
      </c>
      <c r="L39" s="155">
        <v>0</v>
      </c>
      <c r="M39" s="167" t="s">
        <v>493</v>
      </c>
    </row>
    <row r="40" spans="2:15" ht="25" customHeight="1">
      <c r="B40" s="2003" t="s">
        <v>520</v>
      </c>
      <c r="C40" s="2004">
        <v>503</v>
      </c>
      <c r="D40" s="2003" t="s">
        <v>521</v>
      </c>
      <c r="E40" s="155">
        <v>0</v>
      </c>
      <c r="F40" s="155">
        <v>0</v>
      </c>
      <c r="G40" s="167" t="s">
        <v>76</v>
      </c>
      <c r="H40" s="155">
        <v>0</v>
      </c>
      <c r="I40" s="167" t="s">
        <v>76</v>
      </c>
      <c r="J40" s="155">
        <v>0</v>
      </c>
      <c r="K40" s="167" t="s">
        <v>493</v>
      </c>
      <c r="L40" s="155">
        <v>0</v>
      </c>
      <c r="M40" s="167" t="s">
        <v>493</v>
      </c>
    </row>
    <row r="41" spans="2:15" ht="25" customHeight="1">
      <c r="B41" s="2011" t="s">
        <v>34</v>
      </c>
      <c r="C41" s="2012"/>
      <c r="D41" s="2013"/>
      <c r="E41" s="157">
        <f>+SUM(E37:E40)</f>
        <v>22300</v>
      </c>
      <c r="F41" s="157">
        <f>+SUM(F37:F40)</f>
        <v>14900</v>
      </c>
      <c r="G41" s="162">
        <f>F41/$E41*100</f>
        <v>66.816143497757849</v>
      </c>
      <c r="H41" s="157">
        <f>+SUM(H37:H40)</f>
        <v>14900</v>
      </c>
      <c r="I41" s="162">
        <f>H41/$E41*100</f>
        <v>66.816143497757849</v>
      </c>
      <c r="J41" s="157">
        <f>+SUM(J37:J40)</f>
        <v>7400</v>
      </c>
      <c r="K41" s="162">
        <f>J41/$E41*100</f>
        <v>33.183856502242151</v>
      </c>
      <c r="L41" s="157">
        <f>+SUM(L37:L40)</f>
        <v>0</v>
      </c>
      <c r="M41" s="162">
        <f>L41/$E41*100</f>
        <v>0</v>
      </c>
    </row>
    <row r="42" spans="2:15" ht="25" customHeight="1"/>
    <row r="43" spans="2:15" ht="25" customHeight="1"/>
    <row r="44" spans="2:15" ht="25" customHeight="1"/>
    <row r="45" spans="2:15" ht="25" customHeight="1"/>
  </sheetData>
  <mergeCells count="61">
    <mergeCell ref="L35:L36"/>
    <mergeCell ref="M35:M36"/>
    <mergeCell ref="B41:D41"/>
    <mergeCell ref="F35:F36"/>
    <mergeCell ref="G35:G36"/>
    <mergeCell ref="H35:H36"/>
    <mergeCell ref="I35:I36"/>
    <mergeCell ref="J35:J36"/>
    <mergeCell ref="K35:K36"/>
    <mergeCell ref="B30:D30"/>
    <mergeCell ref="B32:B36"/>
    <mergeCell ref="C32:C36"/>
    <mergeCell ref="D32:D36"/>
    <mergeCell ref="E32:M32"/>
    <mergeCell ref="E33:E36"/>
    <mergeCell ref="F33:G34"/>
    <mergeCell ref="H33:I34"/>
    <mergeCell ref="J33:K34"/>
    <mergeCell ref="L34:M34"/>
    <mergeCell ref="F24:F25"/>
    <mergeCell ref="G24:G25"/>
    <mergeCell ref="H24:H25"/>
    <mergeCell ref="I24:I25"/>
    <mergeCell ref="J24:J25"/>
    <mergeCell ref="K24:K25"/>
    <mergeCell ref="M13:M14"/>
    <mergeCell ref="B19:D19"/>
    <mergeCell ref="B21:B25"/>
    <mergeCell ref="C21:C25"/>
    <mergeCell ref="D21:D25"/>
    <mergeCell ref="E21:K21"/>
    <mergeCell ref="E22:E25"/>
    <mergeCell ref="F22:G23"/>
    <mergeCell ref="H22:I23"/>
    <mergeCell ref="J23:K23"/>
    <mergeCell ref="G13:G14"/>
    <mergeCell ref="H13:H14"/>
    <mergeCell ref="I13:I14"/>
    <mergeCell ref="J13:J14"/>
    <mergeCell ref="K13:K14"/>
    <mergeCell ref="L13:L14"/>
    <mergeCell ref="L4:L5"/>
    <mergeCell ref="B10:D10"/>
    <mergeCell ref="B12:B14"/>
    <mergeCell ref="C12:C14"/>
    <mergeCell ref="D12:D14"/>
    <mergeCell ref="E12:G12"/>
    <mergeCell ref="H12:J12"/>
    <mergeCell ref="K12:M12"/>
    <mergeCell ref="E13:E14"/>
    <mergeCell ref="F13:F14"/>
    <mergeCell ref="B3:B5"/>
    <mergeCell ref="C3:C5"/>
    <mergeCell ref="D3:D5"/>
    <mergeCell ref="E3:H3"/>
    <mergeCell ref="I3:L3"/>
    <mergeCell ref="F4:G4"/>
    <mergeCell ref="H4:H5"/>
    <mergeCell ref="I4:I5"/>
    <mergeCell ref="J4:J5"/>
    <mergeCell ref="K4:K5"/>
  </mergeCells>
  <phoneticPr fontId="6"/>
  <pageMargins left="0.98425196850393704" right="0.19685039370078741" top="0.98425196850393704" bottom="0.78740157480314965" header="0.51181102362204722" footer="0.51181102362204722"/>
  <pageSetup paperSize="9" scale="96"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2ABD4B-893A-4136-8305-EA9BAC7D566F}">
  <dimension ref="A1:Q37"/>
  <sheetViews>
    <sheetView view="pageBreakPreview" topLeftCell="B1" zoomScaleNormal="89" zoomScaleSheetLayoutView="100" workbookViewId="0"/>
  </sheetViews>
  <sheetFormatPr defaultColWidth="7" defaultRowHeight="11"/>
  <cols>
    <col min="1" max="1" width="0.90625" style="1996" hidden="1" customWidth="1"/>
    <col min="2" max="2" width="5.6328125" style="1995" customWidth="1"/>
    <col min="3" max="3" width="4.453125" style="2015" customWidth="1"/>
    <col min="4" max="4" width="14.453125" style="1995" customWidth="1"/>
    <col min="5" max="12" width="7.453125" style="150" customWidth="1"/>
    <col min="13" max="13" width="7" style="150" customWidth="1"/>
    <col min="14" max="14" width="7" style="1995"/>
    <col min="15" max="16" width="7.453125" style="1995" customWidth="1"/>
    <col min="17" max="16384" width="7" style="1995"/>
  </cols>
  <sheetData>
    <row r="1" spans="1:16" ht="25" customHeight="1">
      <c r="A1" s="1994"/>
      <c r="B1" s="1994" t="s">
        <v>557</v>
      </c>
      <c r="C1" s="2014"/>
      <c r="F1" s="170"/>
      <c r="G1" s="171"/>
      <c r="H1" s="170"/>
    </row>
    <row r="2" spans="1:16">
      <c r="E2" s="151"/>
      <c r="F2" s="171"/>
      <c r="G2" s="171"/>
      <c r="H2" s="171"/>
      <c r="I2" s="151"/>
    </row>
    <row r="3" spans="1:16" s="2005" customFormat="1" ht="15" customHeight="1">
      <c r="A3" s="1999"/>
      <c r="B3" s="2008" t="s">
        <v>495</v>
      </c>
      <c r="C3" s="2008" t="s">
        <v>558</v>
      </c>
      <c r="D3" s="2008" t="s">
        <v>497</v>
      </c>
      <c r="E3" s="849" t="s">
        <v>559</v>
      </c>
      <c r="F3" s="849"/>
      <c r="G3" s="849"/>
      <c r="H3" s="849"/>
      <c r="I3" s="849"/>
      <c r="J3" s="849"/>
      <c r="K3" s="849"/>
      <c r="L3" s="849"/>
      <c r="M3" s="849"/>
      <c r="N3" s="2016"/>
      <c r="O3" s="2016"/>
      <c r="P3" s="2016"/>
    </row>
    <row r="4" spans="1:16" s="2005" customFormat="1" ht="15" customHeight="1">
      <c r="A4" s="1999"/>
      <c r="B4" s="2009"/>
      <c r="C4" s="2009"/>
      <c r="D4" s="2009"/>
      <c r="E4" s="849" t="s">
        <v>560</v>
      </c>
      <c r="F4" s="849"/>
      <c r="G4" s="849"/>
      <c r="H4" s="849" t="s">
        <v>561</v>
      </c>
      <c r="I4" s="849"/>
      <c r="J4" s="849"/>
      <c r="K4" s="849"/>
      <c r="L4" s="849"/>
      <c r="M4" s="849"/>
      <c r="N4" s="2016"/>
      <c r="O4" s="2016"/>
      <c r="P4" s="2016"/>
    </row>
    <row r="5" spans="1:16" s="2005" customFormat="1" ht="15" customHeight="1">
      <c r="A5" s="1999"/>
      <c r="B5" s="2009"/>
      <c r="C5" s="2009"/>
      <c r="D5" s="2009"/>
      <c r="E5" s="849" t="s">
        <v>186</v>
      </c>
      <c r="F5" s="849"/>
      <c r="G5" s="849"/>
      <c r="H5" s="849" t="s">
        <v>562</v>
      </c>
      <c r="I5" s="849"/>
      <c r="J5" s="849"/>
      <c r="K5" s="849" t="s">
        <v>186</v>
      </c>
      <c r="L5" s="849"/>
      <c r="M5" s="849"/>
      <c r="N5" s="2016"/>
      <c r="O5" s="2016"/>
      <c r="P5" s="2016"/>
    </row>
    <row r="6" spans="1:16" s="2005" customFormat="1" ht="15" customHeight="1">
      <c r="A6" s="1999"/>
      <c r="B6" s="2009"/>
      <c r="C6" s="2009"/>
      <c r="D6" s="2009"/>
      <c r="E6" s="849" t="s">
        <v>563</v>
      </c>
      <c r="F6" s="786"/>
      <c r="G6" s="849" t="s">
        <v>564</v>
      </c>
      <c r="H6" s="849" t="s">
        <v>563</v>
      </c>
      <c r="I6" s="786"/>
      <c r="J6" s="849" t="s">
        <v>564</v>
      </c>
      <c r="K6" s="849" t="s">
        <v>563</v>
      </c>
      <c r="L6" s="786"/>
      <c r="M6" s="849" t="s">
        <v>564</v>
      </c>
      <c r="N6" s="2016"/>
      <c r="O6" s="2016"/>
      <c r="P6" s="2016"/>
    </row>
    <row r="7" spans="1:16" s="2005" customFormat="1" ht="47.25" customHeight="1">
      <c r="A7" s="1999"/>
      <c r="B7" s="2010"/>
      <c r="C7" s="2010"/>
      <c r="D7" s="2010"/>
      <c r="E7" s="849"/>
      <c r="F7" s="786" t="s">
        <v>565</v>
      </c>
      <c r="G7" s="849"/>
      <c r="H7" s="849"/>
      <c r="I7" s="786" t="s">
        <v>565</v>
      </c>
      <c r="J7" s="849"/>
      <c r="K7" s="849"/>
      <c r="L7" s="798" t="s">
        <v>565</v>
      </c>
      <c r="M7" s="849"/>
      <c r="N7" s="2016"/>
      <c r="O7" s="2016"/>
      <c r="P7" s="2016"/>
    </row>
    <row r="8" spans="1:16" s="2005" customFormat="1" ht="25" customHeight="1">
      <c r="A8" s="2002">
        <v>1</v>
      </c>
      <c r="B8" s="2003" t="s">
        <v>507</v>
      </c>
      <c r="C8" s="2004">
        <v>501</v>
      </c>
      <c r="D8" s="2003" t="s">
        <v>508</v>
      </c>
      <c r="E8" s="155">
        <v>0</v>
      </c>
      <c r="F8" s="155">
        <v>0</v>
      </c>
      <c r="G8" s="155">
        <v>0</v>
      </c>
      <c r="H8" s="155">
        <v>5727</v>
      </c>
      <c r="I8" s="2017">
        <v>5278</v>
      </c>
      <c r="J8" s="2017">
        <v>5469</v>
      </c>
      <c r="K8" s="2017">
        <v>3033</v>
      </c>
      <c r="L8" s="2017">
        <v>3033</v>
      </c>
      <c r="M8" s="155">
        <v>9</v>
      </c>
      <c r="N8" s="2016"/>
      <c r="O8" s="2016"/>
      <c r="P8" s="2016"/>
    </row>
    <row r="9" spans="1:16" s="2005" customFormat="1" ht="25" customHeight="1">
      <c r="A9" s="2002">
        <v>4</v>
      </c>
      <c r="B9" s="2003" t="s">
        <v>512</v>
      </c>
      <c r="C9" s="2004">
        <v>504</v>
      </c>
      <c r="D9" s="2003" t="s">
        <v>513</v>
      </c>
      <c r="E9" s="155">
        <v>7980</v>
      </c>
      <c r="F9" s="2017">
        <v>7980</v>
      </c>
      <c r="G9" s="155">
        <v>0</v>
      </c>
      <c r="H9" s="155">
        <v>47032</v>
      </c>
      <c r="I9" s="2017">
        <v>0</v>
      </c>
      <c r="J9" s="2017">
        <v>5858</v>
      </c>
      <c r="K9" s="2017">
        <v>9373</v>
      </c>
      <c r="L9" s="2017">
        <v>9373</v>
      </c>
      <c r="M9" s="2003">
        <v>0</v>
      </c>
      <c r="N9" s="2016"/>
      <c r="O9" s="2016"/>
      <c r="P9" s="2016"/>
    </row>
    <row r="10" spans="1:16" s="2005" customFormat="1" ht="25" customHeight="1">
      <c r="A10" s="2002">
        <v>7</v>
      </c>
      <c r="B10" s="2003" t="s">
        <v>516</v>
      </c>
      <c r="C10" s="2004">
        <v>502</v>
      </c>
      <c r="D10" s="2003" t="s">
        <v>517</v>
      </c>
      <c r="E10" s="155">
        <v>1857</v>
      </c>
      <c r="F10" s="2017">
        <v>1857</v>
      </c>
      <c r="G10" s="155">
        <v>0</v>
      </c>
      <c r="H10" s="155">
        <v>15847</v>
      </c>
      <c r="I10" s="2017">
        <v>8878</v>
      </c>
      <c r="J10" s="2017">
        <v>10499</v>
      </c>
      <c r="K10" s="2017">
        <v>28968</v>
      </c>
      <c r="L10" s="2017">
        <v>28968</v>
      </c>
      <c r="M10" s="2003">
        <v>0</v>
      </c>
      <c r="N10" s="2016"/>
      <c r="O10" s="2016"/>
      <c r="P10" s="2016"/>
    </row>
    <row r="11" spans="1:16" s="2005" customFormat="1" ht="25" customHeight="1">
      <c r="A11" s="2002">
        <v>8</v>
      </c>
      <c r="B11" s="2003" t="s">
        <v>520</v>
      </c>
      <c r="C11" s="2004">
        <v>503</v>
      </c>
      <c r="D11" s="2003" t="s">
        <v>521</v>
      </c>
      <c r="E11" s="155">
        <v>0</v>
      </c>
      <c r="F11" s="155">
        <v>0</v>
      </c>
      <c r="G11" s="155">
        <v>0</v>
      </c>
      <c r="H11" s="155">
        <v>0</v>
      </c>
      <c r="I11" s="2003">
        <v>0</v>
      </c>
      <c r="J11" s="2003">
        <v>0</v>
      </c>
      <c r="K11" s="2003">
        <v>0</v>
      </c>
      <c r="L11" s="2003">
        <v>0</v>
      </c>
      <c r="M11" s="2003">
        <v>0</v>
      </c>
      <c r="N11" s="2016"/>
      <c r="O11" s="2016"/>
      <c r="P11" s="2016"/>
    </row>
    <row r="12" spans="1:16" s="2005" customFormat="1" ht="25" customHeight="1">
      <c r="A12" s="2002"/>
      <c r="B12" s="2006" t="s">
        <v>34</v>
      </c>
      <c r="C12" s="2006"/>
      <c r="D12" s="2006"/>
      <c r="E12" s="157">
        <f t="shared" ref="E12:M12" si="0">+SUM(E8:E11)</f>
        <v>9837</v>
      </c>
      <c r="F12" s="157">
        <f t="shared" si="0"/>
        <v>9837</v>
      </c>
      <c r="G12" s="157">
        <f t="shared" si="0"/>
        <v>0</v>
      </c>
      <c r="H12" s="157">
        <f t="shared" si="0"/>
        <v>68606</v>
      </c>
      <c r="I12" s="157">
        <f t="shared" si="0"/>
        <v>14156</v>
      </c>
      <c r="J12" s="157">
        <f t="shared" si="0"/>
        <v>21826</v>
      </c>
      <c r="K12" s="157">
        <f t="shared" si="0"/>
        <v>41374</v>
      </c>
      <c r="L12" s="157">
        <f t="shared" si="0"/>
        <v>41374</v>
      </c>
      <c r="M12" s="157">
        <f t="shared" si="0"/>
        <v>9</v>
      </c>
      <c r="N12" s="2016"/>
      <c r="O12" s="2016"/>
      <c r="P12" s="2016"/>
    </row>
    <row r="13" spans="1:16" ht="25" customHeight="1"/>
    <row r="14" spans="1:16" s="2005" customFormat="1" ht="15" customHeight="1">
      <c r="A14" s="1999"/>
      <c r="B14" s="2008" t="s">
        <v>495</v>
      </c>
      <c r="C14" s="2008" t="s">
        <v>558</v>
      </c>
      <c r="D14" s="2008" t="s">
        <v>497</v>
      </c>
      <c r="E14" s="847" t="s">
        <v>559</v>
      </c>
      <c r="F14" s="852"/>
      <c r="G14" s="852"/>
      <c r="H14" s="852"/>
      <c r="I14" s="852"/>
      <c r="J14" s="852"/>
      <c r="K14" s="852"/>
      <c r="L14" s="852"/>
      <c r="M14" s="848"/>
      <c r="N14" s="794"/>
      <c r="O14" s="794"/>
      <c r="P14" s="794"/>
    </row>
    <row r="15" spans="1:16" s="2005" customFormat="1" ht="15" customHeight="1">
      <c r="A15" s="1999"/>
      <c r="B15" s="2009"/>
      <c r="C15" s="2009"/>
      <c r="D15" s="2009"/>
      <c r="E15" s="847" t="s">
        <v>561</v>
      </c>
      <c r="F15" s="852"/>
      <c r="G15" s="848"/>
      <c r="H15" s="855" t="s">
        <v>34</v>
      </c>
      <c r="I15" s="856"/>
      <c r="J15" s="856"/>
      <c r="K15" s="856"/>
      <c r="L15" s="856"/>
      <c r="M15" s="857"/>
      <c r="N15" s="794"/>
      <c r="O15" s="794"/>
      <c r="P15" s="794"/>
    </row>
    <row r="16" spans="1:16" s="2005" customFormat="1" ht="15" customHeight="1">
      <c r="A16" s="1999"/>
      <c r="B16" s="2009"/>
      <c r="C16" s="2009"/>
      <c r="D16" s="2009"/>
      <c r="E16" s="847" t="s">
        <v>566</v>
      </c>
      <c r="F16" s="852"/>
      <c r="G16" s="848"/>
      <c r="H16" s="858"/>
      <c r="I16" s="859"/>
      <c r="J16" s="859"/>
      <c r="K16" s="859"/>
      <c r="L16" s="859"/>
      <c r="M16" s="844"/>
      <c r="N16" s="794"/>
      <c r="O16" s="794"/>
      <c r="P16" s="794"/>
    </row>
    <row r="17" spans="1:17" s="2005" customFormat="1" ht="15" customHeight="1">
      <c r="A17" s="1999"/>
      <c r="B17" s="2009"/>
      <c r="C17" s="2009"/>
      <c r="D17" s="2009"/>
      <c r="E17" s="855" t="s">
        <v>563</v>
      </c>
      <c r="F17" s="790"/>
      <c r="G17" s="833" t="s">
        <v>564</v>
      </c>
      <c r="H17" s="833" t="s">
        <v>567</v>
      </c>
      <c r="I17" s="855" t="s">
        <v>568</v>
      </c>
      <c r="J17" s="790"/>
      <c r="K17" s="855" t="s">
        <v>564</v>
      </c>
      <c r="L17" s="860" t="s">
        <v>569</v>
      </c>
      <c r="M17" s="788"/>
      <c r="N17" s="853"/>
      <c r="O17" s="854"/>
      <c r="P17" s="794"/>
    </row>
    <row r="18" spans="1:17" s="2005" customFormat="1" ht="47.25" customHeight="1">
      <c r="A18" s="1999"/>
      <c r="B18" s="2010"/>
      <c r="C18" s="2010"/>
      <c r="D18" s="2010"/>
      <c r="E18" s="834"/>
      <c r="F18" s="786" t="s">
        <v>565</v>
      </c>
      <c r="G18" s="834"/>
      <c r="H18" s="834"/>
      <c r="I18" s="858"/>
      <c r="J18" s="786" t="s">
        <v>570</v>
      </c>
      <c r="K18" s="834"/>
      <c r="L18" s="861"/>
      <c r="M18" s="172" t="s">
        <v>571</v>
      </c>
      <c r="N18" s="853"/>
      <c r="O18" s="854"/>
      <c r="P18" s="173"/>
    </row>
    <row r="19" spans="1:17" s="2005" customFormat="1" ht="25" customHeight="1">
      <c r="A19" s="2002">
        <v>1</v>
      </c>
      <c r="B19" s="2003" t="s">
        <v>507</v>
      </c>
      <c r="C19" s="2004">
        <v>501</v>
      </c>
      <c r="D19" s="2003" t="s">
        <v>508</v>
      </c>
      <c r="E19" s="155">
        <v>2486</v>
      </c>
      <c r="F19" s="155">
        <v>2486</v>
      </c>
      <c r="G19" s="2003">
        <v>0</v>
      </c>
      <c r="H19" s="155">
        <f>E8+G8+H8+J8+K8+M8+E19+G19</f>
        <v>16724</v>
      </c>
      <c r="I19" s="155">
        <f>E8+H8+K8+E19</f>
        <v>11246</v>
      </c>
      <c r="J19" s="155">
        <f>F8+I8+L8+F19</f>
        <v>10797</v>
      </c>
      <c r="K19" s="155">
        <f>G8+J8+M8+G19</f>
        <v>5478</v>
      </c>
      <c r="L19" s="161">
        <f>+ROUND(I19/H19*100,1)</f>
        <v>67.2</v>
      </c>
      <c r="M19" s="161">
        <f>+ROUND(J19/H19*100,1)</f>
        <v>64.599999999999994</v>
      </c>
      <c r="N19" s="174"/>
      <c r="O19" s="175"/>
      <c r="P19" s="175"/>
      <c r="Q19" s="176"/>
    </row>
    <row r="20" spans="1:17" s="2005" customFormat="1" ht="25" customHeight="1">
      <c r="A20" s="2002">
        <v>4</v>
      </c>
      <c r="B20" s="2003" t="s">
        <v>512</v>
      </c>
      <c r="C20" s="2004">
        <v>504</v>
      </c>
      <c r="D20" s="2003" t="s">
        <v>513</v>
      </c>
      <c r="E20" s="2003">
        <v>0</v>
      </c>
      <c r="F20" s="2003">
        <v>0</v>
      </c>
      <c r="G20" s="2003">
        <v>0</v>
      </c>
      <c r="H20" s="155">
        <f t="shared" ref="H20:H22" si="1">E9+G9+H9+J9+K9+M9+E20+G20</f>
        <v>70243</v>
      </c>
      <c r="I20" s="155">
        <f t="shared" ref="I20:K22" si="2">E9+H9+K9+E20</f>
        <v>64385</v>
      </c>
      <c r="J20" s="155">
        <f t="shared" si="2"/>
        <v>17353</v>
      </c>
      <c r="K20" s="155">
        <f t="shared" si="2"/>
        <v>5858</v>
      </c>
      <c r="L20" s="161">
        <f t="shared" ref="L20:L21" si="3">+ROUND(I20/H20*100,1)</f>
        <v>91.7</v>
      </c>
      <c r="M20" s="161">
        <f t="shared" ref="M20:M21" si="4">+ROUND(J20/H20*100,1)</f>
        <v>24.7</v>
      </c>
      <c r="N20" s="174"/>
      <c r="O20" s="175"/>
      <c r="P20" s="175"/>
    </row>
    <row r="21" spans="1:17" s="2005" customFormat="1" ht="25" customHeight="1">
      <c r="A21" s="2002">
        <v>7</v>
      </c>
      <c r="B21" s="2003" t="s">
        <v>516</v>
      </c>
      <c r="C21" s="2004">
        <v>502</v>
      </c>
      <c r="D21" s="2003" t="s">
        <v>517</v>
      </c>
      <c r="E21" s="2003">
        <v>0</v>
      </c>
      <c r="F21" s="2003">
        <v>0</v>
      </c>
      <c r="G21" s="2003">
        <v>0</v>
      </c>
      <c r="H21" s="155">
        <f t="shared" si="1"/>
        <v>57171</v>
      </c>
      <c r="I21" s="155">
        <f t="shared" si="2"/>
        <v>46672</v>
      </c>
      <c r="J21" s="155">
        <f t="shared" si="2"/>
        <v>39703</v>
      </c>
      <c r="K21" s="155">
        <f t="shared" si="2"/>
        <v>10499</v>
      </c>
      <c r="L21" s="161">
        <f t="shared" si="3"/>
        <v>81.599999999999994</v>
      </c>
      <c r="M21" s="161">
        <f t="shared" si="4"/>
        <v>69.400000000000006</v>
      </c>
      <c r="N21" s="177"/>
      <c r="O21" s="175"/>
      <c r="P21" s="175"/>
    </row>
    <row r="22" spans="1:17" s="2005" customFormat="1" ht="25" customHeight="1">
      <c r="A22" s="2002">
        <v>8</v>
      </c>
      <c r="B22" s="2003" t="s">
        <v>520</v>
      </c>
      <c r="C22" s="2004">
        <v>503</v>
      </c>
      <c r="D22" s="2003" t="s">
        <v>521</v>
      </c>
      <c r="E22" s="2003">
        <v>0</v>
      </c>
      <c r="F22" s="2003">
        <v>0</v>
      </c>
      <c r="G22" s="2003">
        <v>0</v>
      </c>
      <c r="H22" s="155">
        <f t="shared" si="1"/>
        <v>0</v>
      </c>
      <c r="I22" s="155">
        <f t="shared" si="2"/>
        <v>0</v>
      </c>
      <c r="J22" s="155">
        <f t="shared" si="2"/>
        <v>0</v>
      </c>
      <c r="K22" s="155">
        <f t="shared" si="2"/>
        <v>0</v>
      </c>
      <c r="L22" s="161">
        <v>0</v>
      </c>
      <c r="M22" s="161">
        <v>0</v>
      </c>
      <c r="N22" s="174"/>
      <c r="O22" s="175"/>
      <c r="P22" s="175"/>
    </row>
    <row r="23" spans="1:17" s="2005" customFormat="1" ht="25" customHeight="1">
      <c r="A23" s="2002"/>
      <c r="B23" s="2000" t="s">
        <v>34</v>
      </c>
      <c r="C23" s="2000"/>
      <c r="D23" s="2000"/>
      <c r="E23" s="157">
        <f t="shared" ref="E23:G23" si="5">+SUM(E19:E22)</f>
        <v>2486</v>
      </c>
      <c r="F23" s="157">
        <f t="shared" si="5"/>
        <v>2486</v>
      </c>
      <c r="G23" s="157">
        <f t="shared" si="5"/>
        <v>0</v>
      </c>
      <c r="H23" s="157">
        <f t="shared" ref="H23:K23" si="6">+SUM(H19:H22)</f>
        <v>144138</v>
      </c>
      <c r="I23" s="157">
        <f>+SUM(I19:I22)</f>
        <v>122303</v>
      </c>
      <c r="J23" s="157">
        <f t="shared" si="6"/>
        <v>67853</v>
      </c>
      <c r="K23" s="157">
        <f t="shared" si="6"/>
        <v>21835</v>
      </c>
      <c r="L23" s="162">
        <f>+ROUND(I23/H23*100,1)</f>
        <v>84.9</v>
      </c>
      <c r="M23" s="162">
        <f>+ROUND(J23/H23*100,1)</f>
        <v>47.1</v>
      </c>
      <c r="N23" s="174"/>
      <c r="O23" s="175"/>
      <c r="P23" s="175"/>
    </row>
    <row r="24" spans="1:17" ht="24.75" customHeight="1"/>
    <row r="25" spans="1:17" ht="13.5" customHeight="1">
      <c r="B25" s="2000" t="s">
        <v>495</v>
      </c>
      <c r="C25" s="2008" t="s">
        <v>558</v>
      </c>
      <c r="D25" s="2000" t="s">
        <v>497</v>
      </c>
      <c r="E25" s="847" t="s">
        <v>572</v>
      </c>
      <c r="F25" s="852"/>
      <c r="G25" s="852"/>
      <c r="H25" s="852"/>
      <c r="I25" s="852"/>
      <c r="J25" s="852"/>
      <c r="K25" s="852"/>
      <c r="L25" s="852"/>
      <c r="M25" s="848"/>
    </row>
    <row r="26" spans="1:17" s="178" customFormat="1" ht="16.5" customHeight="1">
      <c r="A26" s="847"/>
      <c r="B26" s="2000"/>
      <c r="C26" s="2009"/>
      <c r="D26" s="2000"/>
      <c r="E26" s="2008" t="s">
        <v>573</v>
      </c>
      <c r="F26" s="2011" t="s">
        <v>574</v>
      </c>
      <c r="G26" s="2013"/>
      <c r="H26" s="2011" t="s">
        <v>575</v>
      </c>
      <c r="I26" s="2013"/>
      <c r="J26" s="2011" t="s">
        <v>576</v>
      </c>
      <c r="K26" s="2013"/>
      <c r="L26" s="2018" t="s">
        <v>577</v>
      </c>
      <c r="M26" s="2019"/>
    </row>
    <row r="27" spans="1:17" s="178" customFormat="1" ht="15" customHeight="1">
      <c r="A27" s="847"/>
      <c r="B27" s="2000"/>
      <c r="C27" s="2010"/>
      <c r="D27" s="2000"/>
      <c r="E27" s="2010"/>
      <c r="F27" s="2020" t="s">
        <v>578</v>
      </c>
      <c r="G27" s="2020" t="s">
        <v>579</v>
      </c>
      <c r="H27" s="2020" t="s">
        <v>578</v>
      </c>
      <c r="I27" s="2020" t="s">
        <v>579</v>
      </c>
      <c r="J27" s="2020" t="s">
        <v>578</v>
      </c>
      <c r="K27" s="2020" t="s">
        <v>579</v>
      </c>
      <c r="L27" s="2020" t="s">
        <v>578</v>
      </c>
      <c r="M27" s="2021" t="s">
        <v>579</v>
      </c>
    </row>
    <row r="28" spans="1:17" ht="24.75" customHeight="1">
      <c r="B28" s="2003" t="s">
        <v>507</v>
      </c>
      <c r="C28" s="2004">
        <v>501</v>
      </c>
      <c r="D28" s="2003" t="s">
        <v>508</v>
      </c>
      <c r="E28" s="2017">
        <v>16724</v>
      </c>
      <c r="F28" s="155">
        <v>4279</v>
      </c>
      <c r="G28" s="161">
        <f>F28/$E28*100</f>
        <v>25.585984214302798</v>
      </c>
      <c r="H28" s="155">
        <v>4223</v>
      </c>
      <c r="I28" s="161">
        <f>H28/$E28*100</f>
        <v>25.251136091844057</v>
      </c>
      <c r="J28" s="155">
        <v>8222</v>
      </c>
      <c r="K28" s="161">
        <f>J28/$E28*100</f>
        <v>49.162879693853142</v>
      </c>
      <c r="L28" s="155">
        <v>0</v>
      </c>
      <c r="M28" s="161">
        <f>L28/$E28*100</f>
        <v>0</v>
      </c>
    </row>
    <row r="29" spans="1:17" ht="24.75" customHeight="1">
      <c r="B29" s="2003" t="s">
        <v>512</v>
      </c>
      <c r="C29" s="2004">
        <v>504</v>
      </c>
      <c r="D29" s="2003" t="s">
        <v>513</v>
      </c>
      <c r="E29" s="2017">
        <v>70243</v>
      </c>
      <c r="F29" s="155">
        <v>0</v>
      </c>
      <c r="G29" s="161">
        <f>F29/$E29*100</f>
        <v>0</v>
      </c>
      <c r="H29" s="155">
        <v>70243</v>
      </c>
      <c r="I29" s="161">
        <f>H29/$E29*100</f>
        <v>100</v>
      </c>
      <c r="J29" s="155">
        <v>0</v>
      </c>
      <c r="K29" s="161">
        <f>J29/$E29*100</f>
        <v>0</v>
      </c>
      <c r="L29" s="155">
        <v>0</v>
      </c>
      <c r="M29" s="161">
        <f>L29/$E29*100</f>
        <v>0</v>
      </c>
    </row>
    <row r="30" spans="1:17" ht="24.75" customHeight="1">
      <c r="B30" s="2003" t="s">
        <v>516</v>
      </c>
      <c r="C30" s="2004">
        <v>502</v>
      </c>
      <c r="D30" s="2003" t="s">
        <v>517</v>
      </c>
      <c r="E30" s="2017">
        <v>57171</v>
      </c>
      <c r="F30" s="155">
        <v>0</v>
      </c>
      <c r="G30" s="161">
        <f>F30/$E30*100</f>
        <v>0</v>
      </c>
      <c r="H30" s="155">
        <v>45398</v>
      </c>
      <c r="I30" s="161">
        <f>H30/$E30*100</f>
        <v>79.40739185950919</v>
      </c>
      <c r="J30" s="155">
        <v>11773</v>
      </c>
      <c r="K30" s="161">
        <f>J30/$E30*100</f>
        <v>20.59260814049081</v>
      </c>
      <c r="L30" s="155">
        <v>0</v>
      </c>
      <c r="M30" s="161">
        <f>L30/$E30*100</f>
        <v>0</v>
      </c>
    </row>
    <row r="31" spans="1:17" ht="24.75" customHeight="1">
      <c r="B31" s="2003" t="s">
        <v>520</v>
      </c>
      <c r="C31" s="2004">
        <v>503</v>
      </c>
      <c r="D31" s="2003" t="s">
        <v>521</v>
      </c>
      <c r="E31" s="2017">
        <v>0</v>
      </c>
      <c r="F31" s="155">
        <v>0</v>
      </c>
      <c r="G31" s="161">
        <v>0</v>
      </c>
      <c r="H31" s="155">
        <v>0</v>
      </c>
      <c r="I31" s="161">
        <v>0</v>
      </c>
      <c r="J31" s="155">
        <v>0</v>
      </c>
      <c r="K31" s="161">
        <v>0</v>
      </c>
      <c r="L31" s="155">
        <v>0</v>
      </c>
      <c r="M31" s="161">
        <v>0</v>
      </c>
    </row>
    <row r="32" spans="1:17" ht="24.75" customHeight="1">
      <c r="B32" s="2000" t="s">
        <v>34</v>
      </c>
      <c r="C32" s="2000"/>
      <c r="D32" s="2000"/>
      <c r="E32" s="157">
        <f>SUM(E28:E31)</f>
        <v>144138</v>
      </c>
      <c r="F32" s="157">
        <f>SUM(F28:F31)</f>
        <v>4279</v>
      </c>
      <c r="G32" s="162">
        <f>F32/$E32*100</f>
        <v>2.9686827901039279</v>
      </c>
      <c r="H32" s="157">
        <f>SUM(H28:H31)</f>
        <v>119864</v>
      </c>
      <c r="I32" s="162">
        <f>H32/$E32*100</f>
        <v>83.159194660672412</v>
      </c>
      <c r="J32" s="157">
        <f>SUM(J28:J31)</f>
        <v>19995</v>
      </c>
      <c r="K32" s="162">
        <f>J32/$E32*100</f>
        <v>13.872122549223661</v>
      </c>
      <c r="L32" s="157">
        <f>SUM(L28:L31)</f>
        <v>0</v>
      </c>
      <c r="M32" s="162">
        <f>L32/$E32*100</f>
        <v>0</v>
      </c>
    </row>
    <row r="33" spans="2:9">
      <c r="I33" s="179"/>
    </row>
    <row r="34" spans="2:9">
      <c r="B34" s="1995" t="s">
        <v>580</v>
      </c>
    </row>
    <row r="35" spans="2:9" ht="14.5" customHeight="1">
      <c r="B35" s="849" t="s">
        <v>581</v>
      </c>
      <c r="C35" s="2022" t="s">
        <v>496</v>
      </c>
      <c r="D35" s="849" t="s">
        <v>497</v>
      </c>
      <c r="E35" s="849" t="s">
        <v>582</v>
      </c>
      <c r="F35" s="849"/>
    </row>
    <row r="36" spans="2:9" ht="14.5" customHeight="1">
      <c r="B36" s="849"/>
      <c r="C36" s="2022"/>
      <c r="D36" s="849"/>
      <c r="E36" s="849"/>
      <c r="F36" s="849"/>
    </row>
    <row r="37" spans="2:9">
      <c r="B37" s="797" t="s">
        <v>516</v>
      </c>
      <c r="C37" s="2023">
        <v>502</v>
      </c>
      <c r="D37" s="180" t="s">
        <v>517</v>
      </c>
      <c r="E37" s="851">
        <v>3307</v>
      </c>
      <c r="F37" s="851"/>
    </row>
  </sheetData>
  <mergeCells count="48">
    <mergeCell ref="B32:D32"/>
    <mergeCell ref="B35:B36"/>
    <mergeCell ref="C35:C36"/>
    <mergeCell ref="D35:D36"/>
    <mergeCell ref="E35:F36"/>
    <mergeCell ref="E37:F37"/>
    <mergeCell ref="B25:B27"/>
    <mergeCell ref="C25:C27"/>
    <mergeCell ref="D25:D27"/>
    <mergeCell ref="E25:M25"/>
    <mergeCell ref="A26:A27"/>
    <mergeCell ref="E26:E27"/>
    <mergeCell ref="F26:G26"/>
    <mergeCell ref="H26:I26"/>
    <mergeCell ref="J26:K26"/>
    <mergeCell ref="L26:M26"/>
    <mergeCell ref="I17:I18"/>
    <mergeCell ref="K17:K18"/>
    <mergeCell ref="L17:L18"/>
    <mergeCell ref="N17:N18"/>
    <mergeCell ref="O17:O18"/>
    <mergeCell ref="B23:D23"/>
    <mergeCell ref="B14:B18"/>
    <mergeCell ref="C14:C18"/>
    <mergeCell ref="D14:D18"/>
    <mergeCell ref="E14:M14"/>
    <mergeCell ref="E15:G15"/>
    <mergeCell ref="H15:M16"/>
    <mergeCell ref="E16:G16"/>
    <mergeCell ref="E17:E18"/>
    <mergeCell ref="G17:G18"/>
    <mergeCell ref="H17:H18"/>
    <mergeCell ref="G6:G7"/>
    <mergeCell ref="H6:H7"/>
    <mergeCell ref="J6:J7"/>
    <mergeCell ref="K6:K7"/>
    <mergeCell ref="M6:M7"/>
    <mergeCell ref="B12:D12"/>
    <mergeCell ref="B3:B7"/>
    <mergeCell ref="C3:C7"/>
    <mergeCell ref="D3:D7"/>
    <mergeCell ref="E3:M3"/>
    <mergeCell ref="E4:G4"/>
    <mergeCell ref="H4:M4"/>
    <mergeCell ref="E5:G5"/>
    <mergeCell ref="H5:J5"/>
    <mergeCell ref="K5:M5"/>
    <mergeCell ref="E6:E7"/>
  </mergeCells>
  <phoneticPr fontId="6"/>
  <pageMargins left="0.98425196850393704" right="0.19685039370078741" top="0.98425196850393704" bottom="0.78740157480314965" header="0.51181102362204722" footer="0.51181102362204722"/>
  <pageSetup paperSize="9" scale="95" fitToHeight="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EF25A-0397-4494-A833-2F88719B0891}">
  <dimension ref="A1:I81"/>
  <sheetViews>
    <sheetView view="pageBreakPreview" zoomScaleNormal="100" zoomScaleSheetLayoutView="100" workbookViewId="0"/>
  </sheetViews>
  <sheetFormatPr defaultColWidth="9" defaultRowHeight="9.5"/>
  <cols>
    <col min="1" max="2" width="2.36328125" style="182" customWidth="1"/>
    <col min="3" max="3" width="34.453125" style="183" customWidth="1"/>
    <col min="4" max="25" width="8.6328125" style="183" customWidth="1"/>
    <col min="26" max="16384" width="9" style="183"/>
  </cols>
  <sheetData>
    <row r="1" spans="1:8" ht="16.5">
      <c r="A1" s="181" t="s">
        <v>583</v>
      </c>
    </row>
    <row r="2" spans="1:8" s="184" customFormat="1">
      <c r="C2" s="185"/>
      <c r="G2" s="883" t="s">
        <v>584</v>
      </c>
      <c r="H2" s="883"/>
    </row>
    <row r="3" spans="1:8" s="184" customFormat="1">
      <c r="A3" s="884" t="s">
        <v>495</v>
      </c>
      <c r="B3" s="885"/>
      <c r="C3" s="886"/>
      <c r="D3" s="802" t="s">
        <v>507</v>
      </c>
      <c r="E3" s="802" t="s">
        <v>512</v>
      </c>
      <c r="F3" s="802" t="s">
        <v>516</v>
      </c>
      <c r="G3" s="802" t="s">
        <v>520</v>
      </c>
      <c r="H3" s="887" t="s">
        <v>34</v>
      </c>
    </row>
    <row r="4" spans="1:8" s="184" customFormat="1">
      <c r="A4" s="884" t="s">
        <v>585</v>
      </c>
      <c r="B4" s="885"/>
      <c r="C4" s="886"/>
      <c r="D4" s="802">
        <v>501</v>
      </c>
      <c r="E4" s="802">
        <v>504</v>
      </c>
      <c r="F4" s="802">
        <v>502</v>
      </c>
      <c r="G4" s="802">
        <v>503</v>
      </c>
      <c r="H4" s="888"/>
    </row>
    <row r="5" spans="1:8" s="182" customFormat="1" ht="28.5">
      <c r="A5" s="889" t="s">
        <v>497</v>
      </c>
      <c r="B5" s="890"/>
      <c r="C5" s="891"/>
      <c r="D5" s="803" t="s">
        <v>586</v>
      </c>
      <c r="E5" s="803" t="s">
        <v>513</v>
      </c>
      <c r="F5" s="803" t="s">
        <v>517</v>
      </c>
      <c r="G5" s="803" t="s">
        <v>587</v>
      </c>
      <c r="H5" s="888"/>
    </row>
    <row r="6" spans="1:8">
      <c r="A6" s="870" t="s">
        <v>588</v>
      </c>
      <c r="B6" s="892" t="s">
        <v>589</v>
      </c>
      <c r="C6" s="893"/>
      <c r="D6" s="186">
        <v>333473</v>
      </c>
      <c r="E6" s="186">
        <v>919902</v>
      </c>
      <c r="F6" s="186">
        <v>1401235</v>
      </c>
      <c r="G6" s="186">
        <v>0</v>
      </c>
      <c r="H6" s="187">
        <f t="shared" ref="H6:H38" si="0">+SUM(D6:G6)</f>
        <v>2654610</v>
      </c>
    </row>
    <row r="7" spans="1:8">
      <c r="A7" s="871"/>
      <c r="B7" s="881" t="s">
        <v>590</v>
      </c>
      <c r="C7" s="882"/>
      <c r="D7" s="188">
        <v>328468</v>
      </c>
      <c r="E7" s="188">
        <v>710264</v>
      </c>
      <c r="F7" s="188">
        <v>1304479</v>
      </c>
      <c r="G7" s="188">
        <v>0</v>
      </c>
      <c r="H7" s="189">
        <f t="shared" si="0"/>
        <v>2343211</v>
      </c>
    </row>
    <row r="8" spans="1:8">
      <c r="A8" s="871"/>
      <c r="B8" s="881" t="s">
        <v>591</v>
      </c>
      <c r="C8" s="882"/>
      <c r="D8" s="188">
        <v>328468</v>
      </c>
      <c r="E8" s="188">
        <v>710264</v>
      </c>
      <c r="F8" s="190">
        <v>1304474</v>
      </c>
      <c r="G8" s="191">
        <v>0</v>
      </c>
      <c r="H8" s="189">
        <f t="shared" si="0"/>
        <v>2343206</v>
      </c>
    </row>
    <row r="9" spans="1:8">
      <c r="A9" s="871"/>
      <c r="B9" s="881" t="s">
        <v>592</v>
      </c>
      <c r="C9" s="882"/>
      <c r="D9" s="192">
        <v>0</v>
      </c>
      <c r="E9" s="192">
        <v>0</v>
      </c>
      <c r="F9" s="193">
        <v>0</v>
      </c>
      <c r="G9" s="191">
        <v>0</v>
      </c>
      <c r="H9" s="189">
        <f t="shared" si="0"/>
        <v>0</v>
      </c>
    </row>
    <row r="10" spans="1:8">
      <c r="A10" s="871"/>
      <c r="B10" s="881" t="s">
        <v>593</v>
      </c>
      <c r="C10" s="882"/>
      <c r="D10" s="188">
        <v>0</v>
      </c>
      <c r="E10" s="192">
        <v>0</v>
      </c>
      <c r="F10" s="190">
        <v>5</v>
      </c>
      <c r="G10" s="191">
        <v>0</v>
      </c>
      <c r="H10" s="189">
        <f t="shared" si="0"/>
        <v>5</v>
      </c>
    </row>
    <row r="11" spans="1:8" ht="10.5" customHeight="1">
      <c r="A11" s="871"/>
      <c r="B11" s="881" t="s">
        <v>594</v>
      </c>
      <c r="C11" s="882"/>
      <c r="D11" s="188">
        <v>5005</v>
      </c>
      <c r="E11" s="188">
        <v>209638</v>
      </c>
      <c r="F11" s="188">
        <v>96756</v>
      </c>
      <c r="G11" s="188">
        <v>0</v>
      </c>
      <c r="H11" s="189">
        <f t="shared" si="0"/>
        <v>311399</v>
      </c>
    </row>
    <row r="12" spans="1:8" ht="10.5" customHeight="1">
      <c r="A12" s="871"/>
      <c r="B12" s="881" t="s">
        <v>595</v>
      </c>
      <c r="C12" s="882"/>
      <c r="D12" s="188">
        <v>691</v>
      </c>
      <c r="E12" s="188">
        <v>10626</v>
      </c>
      <c r="F12" s="190">
        <v>550</v>
      </c>
      <c r="G12" s="191">
        <v>0</v>
      </c>
      <c r="H12" s="189">
        <f t="shared" si="0"/>
        <v>11867</v>
      </c>
    </row>
    <row r="13" spans="1:8" ht="10.5" customHeight="1">
      <c r="A13" s="871"/>
      <c r="B13" s="881" t="s">
        <v>596</v>
      </c>
      <c r="C13" s="882"/>
      <c r="D13" s="188">
        <v>0</v>
      </c>
      <c r="E13" s="188">
        <v>0</v>
      </c>
      <c r="F13" s="190">
        <v>0</v>
      </c>
      <c r="G13" s="191">
        <v>0</v>
      </c>
      <c r="H13" s="189">
        <f t="shared" si="0"/>
        <v>0</v>
      </c>
    </row>
    <row r="14" spans="1:8" ht="10.5" customHeight="1">
      <c r="A14" s="871"/>
      <c r="B14" s="881" t="s">
        <v>597</v>
      </c>
      <c r="C14" s="882"/>
      <c r="D14" s="192">
        <v>0</v>
      </c>
      <c r="E14" s="192">
        <v>0</v>
      </c>
      <c r="F14" s="193">
        <v>0</v>
      </c>
      <c r="G14" s="191">
        <v>0</v>
      </c>
      <c r="H14" s="189">
        <f t="shared" si="0"/>
        <v>0</v>
      </c>
    </row>
    <row r="15" spans="1:8" ht="10.5" customHeight="1">
      <c r="A15" s="871"/>
      <c r="B15" s="881" t="s">
        <v>598</v>
      </c>
      <c r="C15" s="882"/>
      <c r="D15" s="188">
        <v>1080</v>
      </c>
      <c r="E15" s="188">
        <v>0</v>
      </c>
      <c r="F15" s="190">
        <v>20715</v>
      </c>
      <c r="G15" s="191">
        <v>0</v>
      </c>
      <c r="H15" s="189">
        <f t="shared" si="0"/>
        <v>21795</v>
      </c>
    </row>
    <row r="16" spans="1:8" ht="10.5" customHeight="1">
      <c r="A16" s="871"/>
      <c r="B16" s="881" t="s">
        <v>599</v>
      </c>
      <c r="C16" s="882"/>
      <c r="D16" s="188">
        <v>938</v>
      </c>
      <c r="E16" s="188">
        <v>159409</v>
      </c>
      <c r="F16" s="190">
        <v>69443</v>
      </c>
      <c r="G16" s="191">
        <v>0</v>
      </c>
      <c r="H16" s="189">
        <f t="shared" si="0"/>
        <v>229790</v>
      </c>
    </row>
    <row r="17" spans="1:8" ht="10.5" customHeight="1">
      <c r="A17" s="871"/>
      <c r="B17" s="881" t="s">
        <v>600</v>
      </c>
      <c r="C17" s="882"/>
      <c r="D17" s="188">
        <v>2296</v>
      </c>
      <c r="E17" s="188">
        <v>39603</v>
      </c>
      <c r="F17" s="190">
        <v>6048</v>
      </c>
      <c r="G17" s="191">
        <v>0</v>
      </c>
      <c r="H17" s="189">
        <f t="shared" si="0"/>
        <v>47947</v>
      </c>
    </row>
    <row r="18" spans="1:8" ht="10.5" customHeight="1">
      <c r="A18" s="871"/>
      <c r="B18" s="881" t="s">
        <v>601</v>
      </c>
      <c r="C18" s="882"/>
      <c r="D18" s="192">
        <v>0</v>
      </c>
      <c r="E18" s="192">
        <v>0</v>
      </c>
      <c r="F18" s="193">
        <v>0</v>
      </c>
      <c r="G18" s="191">
        <v>0</v>
      </c>
      <c r="H18" s="189">
        <f t="shared" si="0"/>
        <v>0</v>
      </c>
    </row>
    <row r="19" spans="1:8" ht="10.5" customHeight="1">
      <c r="A19" s="871"/>
      <c r="B19" s="881" t="s">
        <v>602</v>
      </c>
      <c r="C19" s="882"/>
      <c r="D19" s="188">
        <v>201051</v>
      </c>
      <c r="E19" s="188">
        <v>672064</v>
      </c>
      <c r="F19" s="188">
        <v>1162191</v>
      </c>
      <c r="G19" s="188">
        <v>0</v>
      </c>
      <c r="H19" s="189">
        <f t="shared" si="0"/>
        <v>2035306</v>
      </c>
    </row>
    <row r="20" spans="1:8">
      <c r="A20" s="871"/>
      <c r="B20" s="881" t="s">
        <v>603</v>
      </c>
      <c r="C20" s="882"/>
      <c r="D20" s="188">
        <v>190427</v>
      </c>
      <c r="E20" s="188">
        <v>633588</v>
      </c>
      <c r="F20" s="188">
        <v>1131481</v>
      </c>
      <c r="G20" s="188">
        <v>0</v>
      </c>
      <c r="H20" s="189">
        <f t="shared" si="0"/>
        <v>1955496</v>
      </c>
    </row>
    <row r="21" spans="1:8">
      <c r="A21" s="871"/>
      <c r="B21" s="881" t="s">
        <v>604</v>
      </c>
      <c r="C21" s="882"/>
      <c r="D21" s="188">
        <v>28478</v>
      </c>
      <c r="E21" s="188">
        <v>5205</v>
      </c>
      <c r="F21" s="190">
        <v>557318</v>
      </c>
      <c r="G21" s="191">
        <v>0</v>
      </c>
      <c r="H21" s="189">
        <f t="shared" si="0"/>
        <v>591001</v>
      </c>
    </row>
    <row r="22" spans="1:8">
      <c r="A22" s="871"/>
      <c r="B22" s="881" t="s">
        <v>605</v>
      </c>
      <c r="C22" s="882"/>
      <c r="D22" s="188">
        <v>0</v>
      </c>
      <c r="E22" s="188">
        <v>107642</v>
      </c>
      <c r="F22" s="190">
        <v>0</v>
      </c>
      <c r="G22" s="191">
        <v>0</v>
      </c>
      <c r="H22" s="189">
        <f t="shared" si="0"/>
        <v>107642</v>
      </c>
    </row>
    <row r="23" spans="1:8">
      <c r="A23" s="871"/>
      <c r="B23" s="881" t="s">
        <v>606</v>
      </c>
      <c r="C23" s="882"/>
      <c r="D23" s="188">
        <v>6116</v>
      </c>
      <c r="E23" s="192">
        <v>0</v>
      </c>
      <c r="F23" s="190">
        <v>0</v>
      </c>
      <c r="G23" s="191">
        <v>0</v>
      </c>
      <c r="H23" s="189">
        <f t="shared" si="0"/>
        <v>6116</v>
      </c>
    </row>
    <row r="24" spans="1:8">
      <c r="A24" s="871"/>
      <c r="B24" s="881" t="s">
        <v>607</v>
      </c>
      <c r="C24" s="882"/>
      <c r="D24" s="188">
        <v>0</v>
      </c>
      <c r="E24" s="192">
        <v>0</v>
      </c>
      <c r="F24" s="190">
        <v>0</v>
      </c>
      <c r="G24" s="191">
        <v>0</v>
      </c>
      <c r="H24" s="189">
        <f t="shared" si="0"/>
        <v>0</v>
      </c>
    </row>
    <row r="25" spans="1:8">
      <c r="A25" s="871"/>
      <c r="B25" s="881" t="s">
        <v>608</v>
      </c>
      <c r="C25" s="882"/>
      <c r="D25" s="188">
        <v>0</v>
      </c>
      <c r="E25" s="192">
        <v>0</v>
      </c>
      <c r="F25" s="190">
        <v>0</v>
      </c>
      <c r="G25" s="191">
        <v>0</v>
      </c>
      <c r="H25" s="189">
        <f t="shared" si="0"/>
        <v>0</v>
      </c>
    </row>
    <row r="26" spans="1:8">
      <c r="A26" s="871"/>
      <c r="B26" s="881" t="s">
        <v>609</v>
      </c>
      <c r="C26" s="882"/>
      <c r="D26" s="188">
        <v>0</v>
      </c>
      <c r="E26" s="192">
        <v>0</v>
      </c>
      <c r="F26" s="190">
        <v>0</v>
      </c>
      <c r="G26" s="191">
        <v>0</v>
      </c>
      <c r="H26" s="189">
        <f t="shared" si="0"/>
        <v>0</v>
      </c>
    </row>
    <row r="27" spans="1:8">
      <c r="A27" s="871"/>
      <c r="B27" s="881" t="s">
        <v>610</v>
      </c>
      <c r="C27" s="882"/>
      <c r="D27" s="188">
        <v>82349</v>
      </c>
      <c r="E27" s="188">
        <v>30886</v>
      </c>
      <c r="F27" s="190">
        <v>0</v>
      </c>
      <c r="G27" s="191">
        <v>0</v>
      </c>
      <c r="H27" s="189">
        <f t="shared" si="0"/>
        <v>113235</v>
      </c>
    </row>
    <row r="28" spans="1:8">
      <c r="A28" s="871"/>
      <c r="B28" s="881" t="s">
        <v>611</v>
      </c>
      <c r="C28" s="882"/>
      <c r="D28" s="188">
        <v>67610</v>
      </c>
      <c r="E28" s="188">
        <v>485913</v>
      </c>
      <c r="F28" s="190">
        <v>574148</v>
      </c>
      <c r="G28" s="191">
        <v>0</v>
      </c>
      <c r="H28" s="189">
        <f t="shared" si="0"/>
        <v>1127671</v>
      </c>
    </row>
    <row r="29" spans="1:8">
      <c r="A29" s="871"/>
      <c r="B29" s="881" t="s">
        <v>612</v>
      </c>
      <c r="C29" s="882"/>
      <c r="D29" s="188">
        <v>5874</v>
      </c>
      <c r="E29" s="188">
        <v>3942</v>
      </c>
      <c r="F29" s="190">
        <v>15</v>
      </c>
      <c r="G29" s="191">
        <v>0</v>
      </c>
      <c r="H29" s="189">
        <f t="shared" si="0"/>
        <v>9831</v>
      </c>
    </row>
    <row r="30" spans="1:8">
      <c r="A30" s="871"/>
      <c r="B30" s="881" t="s">
        <v>613</v>
      </c>
      <c r="C30" s="882"/>
      <c r="D30" s="188">
        <v>0</v>
      </c>
      <c r="E30" s="192">
        <v>0</v>
      </c>
      <c r="F30" s="190">
        <v>0</v>
      </c>
      <c r="G30" s="191">
        <v>0</v>
      </c>
      <c r="H30" s="189">
        <f t="shared" si="0"/>
        <v>0</v>
      </c>
    </row>
    <row r="31" spans="1:8">
      <c r="A31" s="871"/>
      <c r="B31" s="881" t="s">
        <v>614</v>
      </c>
      <c r="C31" s="882"/>
      <c r="D31" s="188">
        <v>10624</v>
      </c>
      <c r="E31" s="188">
        <v>38476</v>
      </c>
      <c r="F31" s="188">
        <v>30710</v>
      </c>
      <c r="G31" s="188">
        <v>0</v>
      </c>
      <c r="H31" s="189">
        <f t="shared" si="0"/>
        <v>79810</v>
      </c>
    </row>
    <row r="32" spans="1:8">
      <c r="A32" s="871"/>
      <c r="B32" s="881" t="s">
        <v>615</v>
      </c>
      <c r="C32" s="882"/>
      <c r="D32" s="188">
        <v>10560</v>
      </c>
      <c r="E32" s="188">
        <v>4639</v>
      </c>
      <c r="F32" s="190">
        <v>24818</v>
      </c>
      <c r="G32" s="191">
        <v>0</v>
      </c>
      <c r="H32" s="189">
        <f t="shared" si="0"/>
        <v>40017</v>
      </c>
    </row>
    <row r="33" spans="1:8">
      <c r="A33" s="871"/>
      <c r="B33" s="881" t="s">
        <v>616</v>
      </c>
      <c r="C33" s="882"/>
      <c r="D33" s="188">
        <v>0</v>
      </c>
      <c r="E33" s="192">
        <v>0</v>
      </c>
      <c r="F33" s="190">
        <v>0</v>
      </c>
      <c r="G33" s="191">
        <v>0</v>
      </c>
      <c r="H33" s="189">
        <f t="shared" si="0"/>
        <v>0</v>
      </c>
    </row>
    <row r="34" spans="1:8">
      <c r="A34" s="871"/>
      <c r="B34" s="881" t="s">
        <v>617</v>
      </c>
      <c r="C34" s="882"/>
      <c r="D34" s="188">
        <v>0</v>
      </c>
      <c r="E34" s="192">
        <v>0</v>
      </c>
      <c r="F34" s="190">
        <v>0</v>
      </c>
      <c r="G34" s="191">
        <v>0</v>
      </c>
      <c r="H34" s="189">
        <f t="shared" si="0"/>
        <v>0</v>
      </c>
    </row>
    <row r="35" spans="1:8">
      <c r="A35" s="871"/>
      <c r="B35" s="881" t="s">
        <v>618</v>
      </c>
      <c r="C35" s="882"/>
      <c r="D35" s="188">
        <v>0</v>
      </c>
      <c r="E35" s="192">
        <v>0</v>
      </c>
      <c r="F35" s="190">
        <v>0</v>
      </c>
      <c r="G35" s="191">
        <v>0</v>
      </c>
      <c r="H35" s="189">
        <f t="shared" si="0"/>
        <v>0</v>
      </c>
    </row>
    <row r="36" spans="1:8">
      <c r="A36" s="871"/>
      <c r="B36" s="881" t="s">
        <v>619</v>
      </c>
      <c r="C36" s="882"/>
      <c r="D36" s="188">
        <v>64</v>
      </c>
      <c r="E36" s="188">
        <v>33837</v>
      </c>
      <c r="F36" s="190">
        <v>5892</v>
      </c>
      <c r="G36" s="191">
        <v>0</v>
      </c>
      <c r="H36" s="189">
        <f t="shared" si="0"/>
        <v>39793</v>
      </c>
    </row>
    <row r="37" spans="1:8">
      <c r="A37" s="871"/>
      <c r="B37" s="881" t="s">
        <v>620</v>
      </c>
      <c r="C37" s="882"/>
      <c r="D37" s="188">
        <v>0</v>
      </c>
      <c r="E37" s="192">
        <v>0</v>
      </c>
      <c r="F37" s="190">
        <v>0</v>
      </c>
      <c r="G37" s="191">
        <v>0</v>
      </c>
      <c r="H37" s="189">
        <f t="shared" si="0"/>
        <v>0</v>
      </c>
    </row>
    <row r="38" spans="1:8">
      <c r="A38" s="871"/>
      <c r="B38" s="881" t="s">
        <v>621</v>
      </c>
      <c r="C38" s="882"/>
      <c r="D38" s="188">
        <v>132422</v>
      </c>
      <c r="E38" s="188">
        <v>247838</v>
      </c>
      <c r="F38" s="188">
        <v>239044</v>
      </c>
      <c r="G38" s="188">
        <v>0</v>
      </c>
      <c r="H38" s="189">
        <f t="shared" si="0"/>
        <v>619304</v>
      </c>
    </row>
    <row r="39" spans="1:8">
      <c r="A39" s="871"/>
      <c r="B39" s="877" t="s">
        <v>622</v>
      </c>
      <c r="C39" s="878"/>
      <c r="D39" s="194">
        <v>0</v>
      </c>
      <c r="E39" s="194">
        <v>0</v>
      </c>
      <c r="F39" s="195">
        <v>0</v>
      </c>
      <c r="G39" s="196">
        <v>0</v>
      </c>
      <c r="H39" s="197">
        <f t="shared" ref="H39:H70" si="1">+SUM(D39:G39)</f>
        <v>0</v>
      </c>
    </row>
    <row r="40" spans="1:8">
      <c r="A40" s="870" t="s">
        <v>623</v>
      </c>
      <c r="B40" s="873" t="s">
        <v>624</v>
      </c>
      <c r="C40" s="198" t="s">
        <v>625</v>
      </c>
      <c r="D40" s="199">
        <v>0</v>
      </c>
      <c r="E40" s="199">
        <v>0</v>
      </c>
      <c r="F40" s="199">
        <v>123800</v>
      </c>
      <c r="G40" s="199">
        <v>0</v>
      </c>
      <c r="H40" s="200">
        <f t="shared" si="1"/>
        <v>123800</v>
      </c>
    </row>
    <row r="41" spans="1:8">
      <c r="A41" s="871"/>
      <c r="B41" s="874"/>
      <c r="C41" s="201" t="s">
        <v>626</v>
      </c>
      <c r="D41" s="192">
        <v>0</v>
      </c>
      <c r="E41" s="192">
        <v>0</v>
      </c>
      <c r="F41" s="193">
        <v>0</v>
      </c>
      <c r="G41" s="191">
        <v>0</v>
      </c>
      <c r="H41" s="189">
        <f t="shared" si="1"/>
        <v>0</v>
      </c>
    </row>
    <row r="42" spans="1:8">
      <c r="A42" s="871"/>
      <c r="B42" s="874"/>
      <c r="C42" s="201" t="s">
        <v>627</v>
      </c>
      <c r="D42" s="192">
        <v>0</v>
      </c>
      <c r="E42" s="192">
        <v>0</v>
      </c>
      <c r="F42" s="193">
        <v>123800</v>
      </c>
      <c r="G42" s="191">
        <v>0</v>
      </c>
      <c r="H42" s="189">
        <f t="shared" si="1"/>
        <v>123800</v>
      </c>
    </row>
    <row r="43" spans="1:8">
      <c r="A43" s="871"/>
      <c r="B43" s="874"/>
      <c r="C43" s="201" t="s">
        <v>628</v>
      </c>
      <c r="D43" s="192">
        <v>0</v>
      </c>
      <c r="E43" s="192">
        <v>0</v>
      </c>
      <c r="F43" s="193">
        <v>0</v>
      </c>
      <c r="G43" s="191">
        <v>0</v>
      </c>
      <c r="H43" s="189">
        <f t="shared" si="1"/>
        <v>0</v>
      </c>
    </row>
    <row r="44" spans="1:8">
      <c r="A44" s="871"/>
      <c r="B44" s="874"/>
      <c r="C44" s="201" t="s">
        <v>629</v>
      </c>
      <c r="D44" s="192">
        <v>0</v>
      </c>
      <c r="E44" s="192">
        <v>0</v>
      </c>
      <c r="F44" s="193">
        <v>0</v>
      </c>
      <c r="G44" s="191">
        <v>0</v>
      </c>
      <c r="H44" s="189">
        <f t="shared" si="1"/>
        <v>0</v>
      </c>
    </row>
    <row r="45" spans="1:8">
      <c r="A45" s="871"/>
      <c r="B45" s="874"/>
      <c r="C45" s="201" t="s">
        <v>630</v>
      </c>
      <c r="D45" s="188">
        <v>0</v>
      </c>
      <c r="E45" s="188">
        <v>0</v>
      </c>
      <c r="F45" s="190">
        <v>0</v>
      </c>
      <c r="G45" s="191">
        <v>5736</v>
      </c>
      <c r="H45" s="189">
        <f t="shared" si="1"/>
        <v>5736</v>
      </c>
    </row>
    <row r="46" spans="1:8">
      <c r="A46" s="871"/>
      <c r="B46" s="874"/>
      <c r="C46" s="201" t="s">
        <v>631</v>
      </c>
      <c r="D46" s="192">
        <v>0</v>
      </c>
      <c r="E46" s="192">
        <v>0</v>
      </c>
      <c r="F46" s="193">
        <v>0</v>
      </c>
      <c r="G46" s="191">
        <v>0</v>
      </c>
      <c r="H46" s="189">
        <f t="shared" si="1"/>
        <v>0</v>
      </c>
    </row>
    <row r="47" spans="1:8">
      <c r="A47" s="871"/>
      <c r="B47" s="874"/>
      <c r="C47" s="201" t="s">
        <v>632</v>
      </c>
      <c r="D47" s="192">
        <v>0</v>
      </c>
      <c r="E47" s="192">
        <v>0</v>
      </c>
      <c r="F47" s="193">
        <v>0</v>
      </c>
      <c r="G47" s="191">
        <v>0</v>
      </c>
      <c r="H47" s="189">
        <f t="shared" si="1"/>
        <v>0</v>
      </c>
    </row>
    <row r="48" spans="1:8">
      <c r="A48" s="871"/>
      <c r="B48" s="874"/>
      <c r="C48" s="201" t="s">
        <v>633</v>
      </c>
      <c r="D48" s="192">
        <v>0</v>
      </c>
      <c r="E48" s="192">
        <v>0</v>
      </c>
      <c r="F48" s="190">
        <v>0</v>
      </c>
      <c r="G48" s="191">
        <v>0</v>
      </c>
      <c r="H48" s="189">
        <f t="shared" si="1"/>
        <v>0</v>
      </c>
    </row>
    <row r="49" spans="1:8">
      <c r="A49" s="871"/>
      <c r="B49" s="874"/>
      <c r="C49" s="201" t="s">
        <v>634</v>
      </c>
      <c r="D49" s="192">
        <v>0</v>
      </c>
      <c r="E49" s="192">
        <v>0</v>
      </c>
      <c r="F49" s="193">
        <v>297</v>
      </c>
      <c r="G49" s="191">
        <v>0</v>
      </c>
      <c r="H49" s="189">
        <f t="shared" si="1"/>
        <v>297</v>
      </c>
    </row>
    <row r="50" spans="1:8">
      <c r="A50" s="871"/>
      <c r="B50" s="874"/>
      <c r="C50" s="201" t="s">
        <v>635</v>
      </c>
      <c r="D50" s="188">
        <v>0</v>
      </c>
      <c r="E50" s="188">
        <v>0</v>
      </c>
      <c r="F50" s="188">
        <v>124097</v>
      </c>
      <c r="G50" s="188">
        <v>5736</v>
      </c>
      <c r="H50" s="189">
        <f t="shared" si="1"/>
        <v>129833</v>
      </c>
    </row>
    <row r="51" spans="1:8">
      <c r="A51" s="871"/>
      <c r="B51" s="874"/>
      <c r="C51" s="201" t="s">
        <v>636</v>
      </c>
      <c r="D51" s="192">
        <v>0</v>
      </c>
      <c r="E51" s="192">
        <v>0</v>
      </c>
      <c r="F51" s="193">
        <v>0</v>
      </c>
      <c r="G51" s="191">
        <v>115</v>
      </c>
      <c r="H51" s="189">
        <f t="shared" si="1"/>
        <v>115</v>
      </c>
    </row>
    <row r="52" spans="1:8">
      <c r="A52" s="871"/>
      <c r="B52" s="874"/>
      <c r="C52" s="201" t="s">
        <v>637</v>
      </c>
      <c r="D52" s="192">
        <v>0</v>
      </c>
      <c r="E52" s="192">
        <v>0</v>
      </c>
      <c r="F52" s="193">
        <v>0</v>
      </c>
      <c r="G52" s="191">
        <v>0</v>
      </c>
      <c r="H52" s="189">
        <f t="shared" si="1"/>
        <v>0</v>
      </c>
    </row>
    <row r="53" spans="1:8">
      <c r="A53" s="871"/>
      <c r="B53" s="874"/>
      <c r="C53" s="201" t="s">
        <v>638</v>
      </c>
      <c r="D53" s="188">
        <v>0</v>
      </c>
      <c r="E53" s="188">
        <v>0</v>
      </c>
      <c r="F53" s="188">
        <v>124097</v>
      </c>
      <c r="G53" s="188">
        <v>5621</v>
      </c>
      <c r="H53" s="189">
        <f t="shared" si="1"/>
        <v>129718</v>
      </c>
    </row>
    <row r="54" spans="1:8">
      <c r="A54" s="871"/>
      <c r="B54" s="875" t="s">
        <v>639</v>
      </c>
      <c r="C54" s="201" t="s">
        <v>640</v>
      </c>
      <c r="D54" s="188">
        <v>0</v>
      </c>
      <c r="E54" s="192">
        <v>0</v>
      </c>
      <c r="F54" s="190">
        <v>0</v>
      </c>
      <c r="G54" s="191">
        <v>5621</v>
      </c>
      <c r="H54" s="189">
        <f t="shared" si="1"/>
        <v>5621</v>
      </c>
    </row>
    <row r="55" spans="1:8">
      <c r="A55" s="871"/>
      <c r="B55" s="876"/>
      <c r="C55" s="201" t="s">
        <v>641</v>
      </c>
      <c r="D55" s="188">
        <v>15906</v>
      </c>
      <c r="E55" s="188">
        <v>100549</v>
      </c>
      <c r="F55" s="190">
        <v>449295</v>
      </c>
      <c r="G55" s="191">
        <v>0</v>
      </c>
      <c r="H55" s="189">
        <f t="shared" si="1"/>
        <v>565750</v>
      </c>
    </row>
    <row r="56" spans="1:8">
      <c r="A56" s="871"/>
      <c r="B56" s="876"/>
      <c r="C56" s="201" t="s">
        <v>642</v>
      </c>
      <c r="D56" s="188">
        <v>39959</v>
      </c>
      <c r="E56" s="188">
        <v>74029</v>
      </c>
      <c r="F56" s="190">
        <v>103481</v>
      </c>
      <c r="G56" s="191">
        <v>0</v>
      </c>
      <c r="H56" s="189">
        <f t="shared" si="1"/>
        <v>217469</v>
      </c>
    </row>
    <row r="57" spans="1:8">
      <c r="A57" s="871"/>
      <c r="B57" s="876"/>
      <c r="C57" s="201" t="s">
        <v>643</v>
      </c>
      <c r="D57" s="188">
        <v>0</v>
      </c>
      <c r="E57" s="192">
        <v>0</v>
      </c>
      <c r="F57" s="190">
        <v>0</v>
      </c>
      <c r="G57" s="191">
        <v>0</v>
      </c>
      <c r="H57" s="189">
        <f t="shared" si="1"/>
        <v>0</v>
      </c>
    </row>
    <row r="58" spans="1:8">
      <c r="A58" s="871"/>
      <c r="B58" s="876"/>
      <c r="C58" s="201" t="s">
        <v>644</v>
      </c>
      <c r="D58" s="188">
        <v>716</v>
      </c>
      <c r="E58" s="192">
        <v>0</v>
      </c>
      <c r="F58" s="190">
        <v>0</v>
      </c>
      <c r="G58" s="191">
        <v>0</v>
      </c>
      <c r="H58" s="189">
        <f t="shared" si="1"/>
        <v>716</v>
      </c>
    </row>
    <row r="59" spans="1:8">
      <c r="A59" s="871"/>
      <c r="B59" s="873"/>
      <c r="C59" s="201" t="s">
        <v>645</v>
      </c>
      <c r="D59" s="188">
        <v>56581</v>
      </c>
      <c r="E59" s="188">
        <v>174578</v>
      </c>
      <c r="F59" s="188">
        <v>552776</v>
      </c>
      <c r="G59" s="188">
        <v>5621</v>
      </c>
      <c r="H59" s="189">
        <f t="shared" si="1"/>
        <v>789556</v>
      </c>
    </row>
    <row r="60" spans="1:8">
      <c r="A60" s="872"/>
      <c r="B60" s="877" t="s">
        <v>646</v>
      </c>
      <c r="C60" s="878"/>
      <c r="D60" s="202">
        <v>56581</v>
      </c>
      <c r="E60" s="202">
        <v>174578</v>
      </c>
      <c r="F60" s="202">
        <v>428679</v>
      </c>
      <c r="G60" s="202">
        <v>0</v>
      </c>
      <c r="H60" s="197">
        <f t="shared" si="1"/>
        <v>659838</v>
      </c>
    </row>
    <row r="61" spans="1:8">
      <c r="A61" s="879" t="s">
        <v>647</v>
      </c>
      <c r="B61" s="880" t="s">
        <v>648</v>
      </c>
      <c r="C61" s="880"/>
      <c r="D61" s="203">
        <v>64246</v>
      </c>
      <c r="E61" s="203">
        <v>74617</v>
      </c>
      <c r="F61" s="203">
        <v>149017</v>
      </c>
      <c r="G61" s="203">
        <v>0</v>
      </c>
      <c r="H61" s="204">
        <f t="shared" si="1"/>
        <v>287880</v>
      </c>
    </row>
    <row r="62" spans="1:8">
      <c r="A62" s="879"/>
      <c r="B62" s="863" t="s">
        <v>649</v>
      </c>
      <c r="C62" s="863"/>
      <c r="D62" s="205">
        <v>53054</v>
      </c>
      <c r="E62" s="205">
        <v>60884</v>
      </c>
      <c r="F62" s="205">
        <v>96942</v>
      </c>
      <c r="G62" s="205">
        <v>0</v>
      </c>
      <c r="H62" s="204">
        <f t="shared" si="1"/>
        <v>210880</v>
      </c>
    </row>
    <row r="63" spans="1:8">
      <c r="A63" s="879"/>
      <c r="B63" s="863" t="s">
        <v>650</v>
      </c>
      <c r="C63" s="863"/>
      <c r="D63" s="205">
        <v>11192</v>
      </c>
      <c r="E63" s="205">
        <v>13733</v>
      </c>
      <c r="F63" s="205">
        <v>52075</v>
      </c>
      <c r="G63" s="205">
        <v>0</v>
      </c>
      <c r="H63" s="204">
        <f t="shared" si="1"/>
        <v>77000</v>
      </c>
    </row>
    <row r="64" spans="1:8">
      <c r="A64" s="879"/>
      <c r="B64" s="863" t="s">
        <v>651</v>
      </c>
      <c r="C64" s="863"/>
      <c r="D64" s="205">
        <v>8245</v>
      </c>
      <c r="E64" s="205">
        <v>16537</v>
      </c>
      <c r="F64" s="205">
        <v>25411</v>
      </c>
      <c r="G64" s="205">
        <v>0</v>
      </c>
      <c r="H64" s="204">
        <f t="shared" si="1"/>
        <v>50193</v>
      </c>
    </row>
    <row r="65" spans="1:9">
      <c r="A65" s="879"/>
      <c r="B65" s="863" t="s">
        <v>652</v>
      </c>
      <c r="C65" s="863"/>
      <c r="D65" s="205">
        <v>5174</v>
      </c>
      <c r="E65" s="205">
        <v>0</v>
      </c>
      <c r="F65" s="205">
        <v>101936</v>
      </c>
      <c r="G65" s="205">
        <v>0</v>
      </c>
      <c r="H65" s="204">
        <f t="shared" si="1"/>
        <v>107110</v>
      </c>
    </row>
    <row r="66" spans="1:9">
      <c r="A66" s="879"/>
      <c r="B66" s="863" t="s">
        <v>653</v>
      </c>
      <c r="C66" s="863"/>
      <c r="D66" s="205">
        <v>962</v>
      </c>
      <c r="E66" s="205">
        <v>5377</v>
      </c>
      <c r="F66" s="205">
        <v>35398</v>
      </c>
      <c r="G66" s="205">
        <v>0</v>
      </c>
      <c r="H66" s="204">
        <f t="shared" si="1"/>
        <v>41737</v>
      </c>
    </row>
    <row r="67" spans="1:9">
      <c r="A67" s="879"/>
      <c r="B67" s="863" t="s">
        <v>654</v>
      </c>
      <c r="C67" s="863"/>
      <c r="D67" s="205">
        <v>10560</v>
      </c>
      <c r="E67" s="205">
        <v>4639</v>
      </c>
      <c r="F67" s="205">
        <v>24818</v>
      </c>
      <c r="G67" s="205">
        <v>0</v>
      </c>
      <c r="H67" s="204">
        <f t="shared" si="1"/>
        <v>40017</v>
      </c>
    </row>
    <row r="68" spans="1:9">
      <c r="A68" s="879"/>
      <c r="B68" s="863" t="s">
        <v>655</v>
      </c>
      <c r="C68" s="863"/>
      <c r="D68" s="205">
        <v>67610</v>
      </c>
      <c r="E68" s="205">
        <v>485913</v>
      </c>
      <c r="F68" s="205">
        <v>574148</v>
      </c>
      <c r="G68" s="205">
        <v>0</v>
      </c>
      <c r="H68" s="204">
        <f t="shared" si="1"/>
        <v>1127671</v>
      </c>
    </row>
    <row r="69" spans="1:9">
      <c r="A69" s="879"/>
      <c r="B69" s="863" t="s">
        <v>656</v>
      </c>
      <c r="C69" s="863"/>
      <c r="D69" s="205">
        <v>0</v>
      </c>
      <c r="E69" s="205">
        <v>0</v>
      </c>
      <c r="F69" s="205">
        <v>0</v>
      </c>
      <c r="G69" s="205">
        <v>0</v>
      </c>
      <c r="H69" s="204">
        <f t="shared" si="1"/>
        <v>0</v>
      </c>
    </row>
    <row r="70" spans="1:9">
      <c r="A70" s="879"/>
      <c r="B70" s="793" t="s">
        <v>657</v>
      </c>
      <c r="C70" s="793"/>
      <c r="D70" s="205">
        <v>18024</v>
      </c>
      <c r="E70" s="205">
        <v>35174</v>
      </c>
      <c r="F70" s="205">
        <v>176087</v>
      </c>
      <c r="G70" s="205">
        <v>0</v>
      </c>
      <c r="H70" s="204">
        <f t="shared" si="1"/>
        <v>229285</v>
      </c>
    </row>
    <row r="71" spans="1:9">
      <c r="A71" s="879"/>
      <c r="B71" s="863" t="s">
        <v>658</v>
      </c>
      <c r="C71" s="863"/>
      <c r="D71" s="205">
        <v>26230</v>
      </c>
      <c r="E71" s="205">
        <v>49807</v>
      </c>
      <c r="F71" s="205">
        <v>75376</v>
      </c>
      <c r="G71" s="205">
        <v>0</v>
      </c>
      <c r="H71" s="189">
        <f t="shared" ref="H71:H77" si="2">+SUM(D71:G71)</f>
        <v>151413</v>
      </c>
    </row>
    <row r="72" spans="1:9">
      <c r="A72" s="879"/>
      <c r="B72" s="863" t="s">
        <v>659</v>
      </c>
      <c r="C72" s="863"/>
      <c r="D72" s="191">
        <v>201051</v>
      </c>
      <c r="E72" s="191">
        <v>672064</v>
      </c>
      <c r="F72" s="191">
        <v>1162191</v>
      </c>
      <c r="G72" s="191">
        <v>0</v>
      </c>
      <c r="H72" s="206">
        <f t="shared" si="2"/>
        <v>2035306</v>
      </c>
    </row>
    <row r="73" spans="1:9">
      <c r="A73" s="879"/>
      <c r="B73" s="863" t="s">
        <v>660</v>
      </c>
      <c r="C73" s="863"/>
      <c r="D73" s="191">
        <v>0</v>
      </c>
      <c r="E73" s="191">
        <v>0</v>
      </c>
      <c r="F73" s="191">
        <v>0</v>
      </c>
      <c r="G73" s="191">
        <v>0</v>
      </c>
      <c r="H73" s="204">
        <f t="shared" si="2"/>
        <v>0</v>
      </c>
    </row>
    <row r="74" spans="1:9">
      <c r="A74" s="879"/>
      <c r="B74" s="864" t="s">
        <v>661</v>
      </c>
      <c r="C74" s="864"/>
      <c r="D74" s="196">
        <v>201051</v>
      </c>
      <c r="E74" s="196">
        <v>672064</v>
      </c>
      <c r="F74" s="196">
        <v>1162191</v>
      </c>
      <c r="G74" s="196">
        <v>0</v>
      </c>
      <c r="H74" s="197">
        <f t="shared" si="2"/>
        <v>2035306</v>
      </c>
    </row>
    <row r="75" spans="1:9" ht="13">
      <c r="A75" s="865" t="s">
        <v>662</v>
      </c>
      <c r="B75" s="866"/>
      <c r="C75" s="867"/>
      <c r="D75" s="207">
        <v>8</v>
      </c>
      <c r="E75" s="207">
        <v>13</v>
      </c>
      <c r="F75" s="207">
        <v>16</v>
      </c>
      <c r="G75" s="208">
        <v>0</v>
      </c>
      <c r="H75" s="209">
        <f t="shared" si="2"/>
        <v>37</v>
      </c>
      <c r="I75" s="210"/>
    </row>
    <row r="76" spans="1:9" ht="13">
      <c r="A76" s="868" t="s">
        <v>663</v>
      </c>
      <c r="B76" s="868"/>
      <c r="C76" s="868"/>
      <c r="D76" s="207">
        <v>8</v>
      </c>
      <c r="E76" s="207">
        <v>9</v>
      </c>
      <c r="F76" s="207">
        <v>16</v>
      </c>
      <c r="G76" s="208">
        <v>0</v>
      </c>
      <c r="H76" s="209">
        <f t="shared" si="2"/>
        <v>33</v>
      </c>
      <c r="I76" s="210"/>
    </row>
    <row r="77" spans="1:9" ht="13">
      <c r="A77" s="869" t="s">
        <v>664</v>
      </c>
      <c r="B77" s="869"/>
      <c r="C77" s="869"/>
      <c r="D77" s="207">
        <v>6534</v>
      </c>
      <c r="E77" s="207">
        <v>13736</v>
      </c>
      <c r="F77" s="207">
        <v>29374</v>
      </c>
      <c r="G77" s="208">
        <v>0</v>
      </c>
      <c r="H77" s="209">
        <f t="shared" si="2"/>
        <v>49644</v>
      </c>
      <c r="I77" s="210"/>
    </row>
    <row r="78" spans="1:9" s="214" customFormat="1" ht="13">
      <c r="A78" s="862" t="s">
        <v>665</v>
      </c>
      <c r="B78" s="862"/>
      <c r="C78" s="862"/>
      <c r="D78" s="211">
        <f>+ROUND((D19-D25)/D77,2)</f>
        <v>30.77</v>
      </c>
      <c r="E78" s="211">
        <f>+ROUND((E19-E25)/E77,2)</f>
        <v>48.93</v>
      </c>
      <c r="F78" s="211">
        <f>+ROUND((F19-F25)/F77,2)</f>
        <v>39.57</v>
      </c>
      <c r="G78" s="212" t="s">
        <v>493</v>
      </c>
      <c r="H78" s="213">
        <f>+ROUND((H19-H25)/H77,2)</f>
        <v>41</v>
      </c>
      <c r="I78" s="210"/>
    </row>
    <row r="79" spans="1:9" s="214" customFormat="1" ht="13">
      <c r="A79" s="862" t="s">
        <v>666</v>
      </c>
      <c r="B79" s="862"/>
      <c r="C79" s="862"/>
      <c r="D79" s="211">
        <f>+ROUND((D19-D25-D16)/D77,2)</f>
        <v>30.63</v>
      </c>
      <c r="E79" s="211">
        <f>+ROUND((E19-E25-E16)/E77,2)</f>
        <v>37.32</v>
      </c>
      <c r="F79" s="211">
        <f>+ROUND((F19-F25-F16)/F77,2)</f>
        <v>37.200000000000003</v>
      </c>
      <c r="G79" s="212" t="s">
        <v>493</v>
      </c>
      <c r="H79" s="213">
        <f>+ROUND((H19-H25-H16)/H77,2)</f>
        <v>36.369999999999997</v>
      </c>
      <c r="I79" s="210"/>
    </row>
    <row r="80" spans="1:9" s="214" customFormat="1" ht="13">
      <c r="A80" s="862" t="s">
        <v>667</v>
      </c>
      <c r="B80" s="862"/>
      <c r="C80" s="862"/>
      <c r="D80" s="211">
        <f>+ROUND(D8/D77,2)</f>
        <v>50.27</v>
      </c>
      <c r="E80" s="211">
        <f>+ROUND(E8/E77,2)</f>
        <v>51.71</v>
      </c>
      <c r="F80" s="211">
        <f>+ROUND(F8/F77,2)</f>
        <v>44.41</v>
      </c>
      <c r="G80" s="215" t="s">
        <v>493</v>
      </c>
      <c r="H80" s="213">
        <f>+ROUND(H8/H77,2)</f>
        <v>47.2</v>
      </c>
      <c r="I80" s="210"/>
    </row>
    <row r="81" spans="9:9" ht="13">
      <c r="I81" s="210"/>
    </row>
  </sheetData>
  <mergeCells count="64">
    <mergeCell ref="A79:C79"/>
    <mergeCell ref="A80:C80"/>
    <mergeCell ref="B73:C73"/>
    <mergeCell ref="B74:C74"/>
    <mergeCell ref="A75:C75"/>
    <mergeCell ref="A76:C76"/>
    <mergeCell ref="A77:C77"/>
    <mergeCell ref="A78:C78"/>
    <mergeCell ref="B66:C66"/>
    <mergeCell ref="B67:C67"/>
    <mergeCell ref="B68:C68"/>
    <mergeCell ref="B69:C69"/>
    <mergeCell ref="B71:C71"/>
    <mergeCell ref="B72:C72"/>
    <mergeCell ref="A40:A60"/>
    <mergeCell ref="B40:B53"/>
    <mergeCell ref="B54:B59"/>
    <mergeCell ref="B60:C60"/>
    <mergeCell ref="A61:A74"/>
    <mergeCell ref="B61:C61"/>
    <mergeCell ref="B62:C62"/>
    <mergeCell ref="B63:C63"/>
    <mergeCell ref="B64:C64"/>
    <mergeCell ref="B65:C65"/>
    <mergeCell ref="B34:C34"/>
    <mergeCell ref="B35:C35"/>
    <mergeCell ref="B36:C36"/>
    <mergeCell ref="B37:C37"/>
    <mergeCell ref="B38:C38"/>
    <mergeCell ref="B39:C39"/>
    <mergeCell ref="B28:C28"/>
    <mergeCell ref="B29:C29"/>
    <mergeCell ref="B30:C30"/>
    <mergeCell ref="B31:C31"/>
    <mergeCell ref="B32:C32"/>
    <mergeCell ref="B33:C33"/>
    <mergeCell ref="B22:C22"/>
    <mergeCell ref="B23:C23"/>
    <mergeCell ref="B24:C24"/>
    <mergeCell ref="B25:C25"/>
    <mergeCell ref="B26:C26"/>
    <mergeCell ref="B27:C27"/>
    <mergeCell ref="B16:C16"/>
    <mergeCell ref="B17:C17"/>
    <mergeCell ref="B18:C18"/>
    <mergeCell ref="B19:C19"/>
    <mergeCell ref="B20:C20"/>
    <mergeCell ref="B21:C21"/>
    <mergeCell ref="B10:C10"/>
    <mergeCell ref="B11:C11"/>
    <mergeCell ref="B12:C12"/>
    <mergeCell ref="B13:C13"/>
    <mergeCell ref="B14:C14"/>
    <mergeCell ref="B15:C15"/>
    <mergeCell ref="G2:H2"/>
    <mergeCell ref="A3:C3"/>
    <mergeCell ref="H3:H5"/>
    <mergeCell ref="A4:C4"/>
    <mergeCell ref="A5:C5"/>
    <mergeCell ref="A6:A39"/>
    <mergeCell ref="B6:C6"/>
    <mergeCell ref="B7:C7"/>
    <mergeCell ref="B8:C8"/>
    <mergeCell ref="B9:C9"/>
  </mergeCells>
  <phoneticPr fontId="6"/>
  <pageMargins left="0.98425196850393704" right="0.19685039370078741" top="0.59055118110236227" bottom="0.39370078740157483" header="0.51181102362204722" footer="0.51181102362204722"/>
  <pageSetup paperSize="9" scale="95" pageOrder="overThenDown"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50DF1D-3150-4AEE-8FDA-752016C145F2}">
  <dimension ref="A1:AF214"/>
  <sheetViews>
    <sheetView workbookViewId="0">
      <pane xSplit="3" ySplit="4" topLeftCell="D5" activePane="bottomRight" state="frozen"/>
      <selection pane="topRight" activeCell="D1" sqref="D1"/>
      <selection pane="bottomLeft" activeCell="A5" sqref="A5"/>
      <selection pane="bottomRight"/>
    </sheetView>
  </sheetViews>
  <sheetFormatPr defaultColWidth="9" defaultRowHeight="11"/>
  <cols>
    <col min="1" max="1" width="6.08984375" style="150" customWidth="1"/>
    <col min="2" max="2" width="3" style="2025" customWidth="1"/>
    <col min="3" max="3" width="15.36328125" style="150" customWidth="1"/>
    <col min="4" max="4" width="3.6328125" style="336" customWidth="1"/>
    <col min="5" max="5" width="4.08984375" style="337" customWidth="1"/>
    <col min="6" max="6" width="4.08984375" style="328" customWidth="1"/>
    <col min="7" max="7" width="4.08984375" style="338" customWidth="1"/>
    <col min="8" max="8" width="3.90625" style="329" customWidth="1"/>
    <col min="9" max="11" width="8.08984375" style="150" customWidth="1"/>
    <col min="12" max="12" width="5.453125" style="179" customWidth="1"/>
    <col min="13" max="21" width="8.08984375" style="150" customWidth="1"/>
    <col min="22" max="24" width="8.08984375" style="179" customWidth="1"/>
    <col min="25" max="27" width="8.08984375" style="150" customWidth="1"/>
    <col min="28" max="29" width="9" style="327"/>
    <col min="30" max="31" width="9" style="238"/>
    <col min="32" max="370" width="9" style="150"/>
    <col min="371" max="371" width="6.08984375" style="150" customWidth="1"/>
    <col min="372" max="372" width="3" style="150" customWidth="1"/>
    <col min="373" max="373" width="15.36328125" style="150" customWidth="1"/>
    <col min="374" max="374" width="3.6328125" style="150" customWidth="1"/>
    <col min="375" max="377" width="4.08984375" style="150" customWidth="1"/>
    <col min="378" max="378" width="3.90625" style="150" customWidth="1"/>
    <col min="379" max="381" width="8.08984375" style="150" customWidth="1"/>
    <col min="382" max="382" width="5.453125" style="150" customWidth="1"/>
    <col min="383" max="397" width="8.08984375" style="150" customWidth="1"/>
    <col min="398" max="16384" width="9" style="150"/>
  </cols>
  <sheetData>
    <row r="1" spans="1:32" s="216" customFormat="1" ht="16.5">
      <c r="A1" s="216" t="s">
        <v>668</v>
      </c>
      <c r="B1" s="2024"/>
      <c r="D1" s="217"/>
      <c r="E1" s="218"/>
      <c r="F1" s="219"/>
      <c r="G1" s="220"/>
      <c r="H1" s="221"/>
      <c r="I1" s="222"/>
      <c r="J1" s="222"/>
      <c r="K1" s="222"/>
      <c r="V1" s="223"/>
      <c r="W1" s="223"/>
      <c r="X1" s="223"/>
      <c r="Z1" s="224"/>
      <c r="AB1" s="225"/>
      <c r="AC1" s="225"/>
      <c r="AD1" s="226"/>
      <c r="AE1" s="226"/>
    </row>
    <row r="2" spans="1:32" s="224" customFormat="1" ht="14.15" customHeight="1">
      <c r="B2" s="2025"/>
      <c r="E2" s="2026"/>
      <c r="F2" s="2026"/>
      <c r="G2" s="2026"/>
      <c r="H2" s="227"/>
      <c r="P2" s="228"/>
      <c r="Q2" s="228"/>
      <c r="R2" s="228"/>
      <c r="S2" s="228"/>
      <c r="T2" s="228"/>
      <c r="U2" s="228"/>
      <c r="V2" s="228"/>
      <c r="W2" s="228"/>
      <c r="X2" s="228"/>
      <c r="AB2" s="229"/>
      <c r="AC2" s="229"/>
      <c r="AD2" s="228"/>
      <c r="AE2" s="228"/>
    </row>
    <row r="3" spans="1:32" s="178" customFormat="1" ht="32.15" customHeight="1">
      <c r="A3" s="849" t="s">
        <v>495</v>
      </c>
      <c r="B3" s="2022" t="s">
        <v>496</v>
      </c>
      <c r="C3" s="849" t="s">
        <v>497</v>
      </c>
      <c r="D3" s="910" t="s">
        <v>498</v>
      </c>
      <c r="E3" s="910"/>
      <c r="F3" s="910"/>
      <c r="G3" s="910"/>
      <c r="H3" s="910"/>
      <c r="I3" s="849" t="s">
        <v>669</v>
      </c>
      <c r="J3" s="849"/>
      <c r="K3" s="849" t="s">
        <v>670</v>
      </c>
      <c r="L3" s="850" t="s">
        <v>671</v>
      </c>
      <c r="M3" s="849" t="s">
        <v>672</v>
      </c>
      <c r="N3" s="849"/>
      <c r="O3" s="849"/>
      <c r="P3" s="849" t="s">
        <v>673</v>
      </c>
      <c r="Q3" s="849"/>
      <c r="R3" s="849"/>
      <c r="S3" s="849" t="s">
        <v>674</v>
      </c>
      <c r="T3" s="849"/>
      <c r="U3" s="849"/>
      <c r="V3" s="850" t="s">
        <v>675</v>
      </c>
      <c r="W3" s="850"/>
      <c r="X3" s="850"/>
      <c r="Y3" s="849" t="s">
        <v>676</v>
      </c>
      <c r="Z3" s="849"/>
      <c r="AA3" s="849"/>
      <c r="AB3" s="2016"/>
      <c r="AC3" s="2016"/>
      <c r="AD3" s="2016"/>
      <c r="AE3" s="2016"/>
    </row>
    <row r="4" spans="1:32" s="178" customFormat="1" ht="50.25" customHeight="1">
      <c r="A4" s="849"/>
      <c r="B4" s="2022"/>
      <c r="C4" s="849"/>
      <c r="D4" s="911" t="s">
        <v>677</v>
      </c>
      <c r="E4" s="2027"/>
      <c r="F4" s="2027"/>
      <c r="G4" s="2028"/>
      <c r="H4" s="230" t="s">
        <v>678</v>
      </c>
      <c r="I4" s="786" t="s">
        <v>679</v>
      </c>
      <c r="J4" s="786" t="s">
        <v>680</v>
      </c>
      <c r="K4" s="849"/>
      <c r="L4" s="850"/>
      <c r="M4" s="786" t="s">
        <v>1044</v>
      </c>
      <c r="N4" s="786" t="s">
        <v>536</v>
      </c>
      <c r="O4" s="786" t="s">
        <v>537</v>
      </c>
      <c r="P4" s="786" t="s">
        <v>681</v>
      </c>
      <c r="Q4" s="786" t="s">
        <v>682</v>
      </c>
      <c r="R4" s="786" t="s">
        <v>683</v>
      </c>
      <c r="S4" s="786" t="s">
        <v>681</v>
      </c>
      <c r="T4" s="786" t="s">
        <v>682</v>
      </c>
      <c r="U4" s="786" t="s">
        <v>683</v>
      </c>
      <c r="V4" s="787" t="s">
        <v>541</v>
      </c>
      <c r="W4" s="787" t="s">
        <v>542</v>
      </c>
      <c r="X4" s="787" t="s">
        <v>684</v>
      </c>
      <c r="Y4" s="786" t="s">
        <v>1053</v>
      </c>
      <c r="Z4" s="786" t="s">
        <v>685</v>
      </c>
      <c r="AA4" s="786" t="s">
        <v>686</v>
      </c>
      <c r="AB4" s="2016"/>
      <c r="AC4" s="2016"/>
      <c r="AD4" s="2016"/>
      <c r="AE4" s="2016"/>
    </row>
    <row r="5" spans="1:32" s="238" customFormat="1" ht="14.15" customHeight="1">
      <c r="A5" s="903" t="s">
        <v>507</v>
      </c>
      <c r="B5" s="231">
        <v>6</v>
      </c>
      <c r="C5" s="231" t="s">
        <v>687</v>
      </c>
      <c r="D5" s="232" t="s">
        <v>1171</v>
      </c>
      <c r="E5" s="2029" t="s">
        <v>2281</v>
      </c>
      <c r="F5" s="2030" t="s">
        <v>2282</v>
      </c>
      <c r="G5" s="2031" t="s">
        <v>2283</v>
      </c>
      <c r="H5" s="233" t="s">
        <v>688</v>
      </c>
      <c r="I5" s="234">
        <v>42400</v>
      </c>
      <c r="J5" s="235">
        <v>41400</v>
      </c>
      <c r="K5" s="234">
        <v>41400</v>
      </c>
      <c r="L5" s="236">
        <v>100</v>
      </c>
      <c r="M5" s="231">
        <v>5986</v>
      </c>
      <c r="N5" s="231">
        <v>4994</v>
      </c>
      <c r="O5" s="231">
        <v>4845</v>
      </c>
      <c r="P5" s="231">
        <v>23150</v>
      </c>
      <c r="Q5" s="231">
        <v>22936</v>
      </c>
      <c r="R5" s="231">
        <v>16400</v>
      </c>
      <c r="S5" s="231">
        <v>546</v>
      </c>
      <c r="T5" s="231">
        <v>554</v>
      </c>
      <c r="U5" s="231">
        <v>396</v>
      </c>
      <c r="V5" s="236">
        <f>(N5/M5)*100</f>
        <v>83.42799866354828</v>
      </c>
      <c r="W5" s="236">
        <f>(O5/M5)*100</f>
        <v>80.938857333778813</v>
      </c>
      <c r="X5" s="236">
        <f>(R5/Q5)*100</f>
        <v>71.503313568189739</v>
      </c>
      <c r="Y5" s="237" t="s">
        <v>689</v>
      </c>
      <c r="Z5" s="231">
        <v>1540</v>
      </c>
      <c r="AA5" s="231">
        <v>3080</v>
      </c>
      <c r="AB5" s="2016"/>
      <c r="AC5" s="2016"/>
      <c r="AD5" s="2016"/>
      <c r="AE5" s="2016"/>
      <c r="AF5" s="2016"/>
    </row>
    <row r="6" spans="1:32" s="238" customFormat="1" ht="14.15" customHeight="1">
      <c r="A6" s="904"/>
      <c r="B6" s="239">
        <v>42</v>
      </c>
      <c r="C6" s="239" t="s">
        <v>690</v>
      </c>
      <c r="D6" s="240" t="s">
        <v>1171</v>
      </c>
      <c r="E6" s="2032" t="s">
        <v>211</v>
      </c>
      <c r="F6" s="2033" t="s">
        <v>2282</v>
      </c>
      <c r="G6" s="2034" t="s">
        <v>2284</v>
      </c>
      <c r="H6" s="241" t="s">
        <v>114</v>
      </c>
      <c r="I6" s="242">
        <v>5300</v>
      </c>
      <c r="J6" s="243">
        <v>3624</v>
      </c>
      <c r="K6" s="242">
        <v>3624</v>
      </c>
      <c r="L6" s="244">
        <v>100</v>
      </c>
      <c r="M6" s="239">
        <v>557</v>
      </c>
      <c r="N6" s="239">
        <v>557</v>
      </c>
      <c r="O6" s="239">
        <v>557</v>
      </c>
      <c r="P6" s="239">
        <v>4756</v>
      </c>
      <c r="Q6" s="239">
        <v>2098</v>
      </c>
      <c r="R6" s="239">
        <v>1526</v>
      </c>
      <c r="S6" s="239">
        <v>897</v>
      </c>
      <c r="T6" s="239">
        <v>579</v>
      </c>
      <c r="U6" s="239">
        <v>421</v>
      </c>
      <c r="V6" s="244">
        <f t="shared" ref="V6:V11" si="0">(N6/M6)*100</f>
        <v>100</v>
      </c>
      <c r="W6" s="244">
        <f t="shared" ref="W6:W11" si="1">(O6/M6)*100</f>
        <v>100</v>
      </c>
      <c r="X6" s="244">
        <f t="shared" ref="X6:X11" si="2">(R6/Q6)*100</f>
        <v>72.735938989513826</v>
      </c>
      <c r="Y6" s="245" t="s">
        <v>689</v>
      </c>
      <c r="Z6" s="239">
        <v>1345</v>
      </c>
      <c r="AA6" s="239">
        <v>2495</v>
      </c>
      <c r="AB6" s="2016"/>
      <c r="AC6" s="2016"/>
      <c r="AD6" s="2016"/>
      <c r="AE6" s="2016"/>
    </row>
    <row r="7" spans="1:32" s="238" customFormat="1" ht="14.15" customHeight="1">
      <c r="A7" s="904"/>
      <c r="B7" s="239">
        <v>13</v>
      </c>
      <c r="C7" s="239" t="s">
        <v>691</v>
      </c>
      <c r="D7" s="240" t="s">
        <v>1171</v>
      </c>
      <c r="E7" s="2032" t="s">
        <v>2285</v>
      </c>
      <c r="F7" s="2033" t="s">
        <v>2282</v>
      </c>
      <c r="G7" s="2034" t="s">
        <v>2281</v>
      </c>
      <c r="H7" s="241" t="s">
        <v>692</v>
      </c>
      <c r="I7" s="242">
        <v>19800</v>
      </c>
      <c r="J7" s="243">
        <v>18557</v>
      </c>
      <c r="K7" s="242">
        <v>18653</v>
      </c>
      <c r="L7" s="244">
        <v>99.5</v>
      </c>
      <c r="M7" s="239">
        <v>4589</v>
      </c>
      <c r="N7" s="239">
        <v>3330</v>
      </c>
      <c r="O7" s="239">
        <v>3310</v>
      </c>
      <c r="P7" s="239">
        <v>23500</v>
      </c>
      <c r="Q7" s="239">
        <v>18245</v>
      </c>
      <c r="R7" s="239">
        <v>12786</v>
      </c>
      <c r="S7" s="239">
        <v>1048</v>
      </c>
      <c r="T7" s="239">
        <v>969</v>
      </c>
      <c r="U7" s="239">
        <v>678</v>
      </c>
      <c r="V7" s="244">
        <f t="shared" si="0"/>
        <v>72.56482893876661</v>
      </c>
      <c r="W7" s="244">
        <f t="shared" si="1"/>
        <v>72.129004140335581</v>
      </c>
      <c r="X7" s="244">
        <f t="shared" si="2"/>
        <v>70.079473828446154</v>
      </c>
      <c r="Y7" s="246" t="s">
        <v>693</v>
      </c>
      <c r="Z7" s="239">
        <v>1034</v>
      </c>
      <c r="AA7" s="239">
        <v>2299</v>
      </c>
      <c r="AB7" s="2016"/>
      <c r="AC7" s="2016"/>
      <c r="AD7" s="2016"/>
      <c r="AE7" s="2016"/>
    </row>
    <row r="8" spans="1:32" s="238" customFormat="1" ht="14.15" customHeight="1">
      <c r="A8" s="904"/>
      <c r="B8" s="239">
        <v>90</v>
      </c>
      <c r="C8" s="239" t="s">
        <v>694</v>
      </c>
      <c r="D8" s="240" t="s">
        <v>1101</v>
      </c>
      <c r="E8" s="2032" t="s">
        <v>2282</v>
      </c>
      <c r="F8" s="2033" t="s">
        <v>2282</v>
      </c>
      <c r="G8" s="2034" t="s">
        <v>2286</v>
      </c>
      <c r="H8" s="241" t="s">
        <v>709</v>
      </c>
      <c r="I8" s="242">
        <v>7920</v>
      </c>
      <c r="J8" s="243">
        <v>7264</v>
      </c>
      <c r="K8" s="242">
        <v>7266</v>
      </c>
      <c r="L8" s="244">
        <v>100</v>
      </c>
      <c r="M8" s="239">
        <v>1031</v>
      </c>
      <c r="N8" s="239">
        <v>822</v>
      </c>
      <c r="O8" s="239">
        <v>822</v>
      </c>
      <c r="P8" s="239">
        <v>3750</v>
      </c>
      <c r="Q8" s="239">
        <v>3112</v>
      </c>
      <c r="R8" s="239">
        <v>2825</v>
      </c>
      <c r="S8" s="239">
        <v>473</v>
      </c>
      <c r="T8" s="239">
        <v>428</v>
      </c>
      <c r="U8" s="239">
        <v>389</v>
      </c>
      <c r="V8" s="244">
        <f t="shared" si="0"/>
        <v>79.728419010669256</v>
      </c>
      <c r="W8" s="244">
        <f t="shared" si="1"/>
        <v>79.728419010669256</v>
      </c>
      <c r="X8" s="244">
        <f t="shared" si="2"/>
        <v>90.777634961439588</v>
      </c>
      <c r="Y8" s="237" t="s">
        <v>689</v>
      </c>
      <c r="Z8" s="239">
        <v>1540</v>
      </c>
      <c r="AA8" s="239">
        <v>3190</v>
      </c>
      <c r="AB8" s="2016"/>
      <c r="AC8" s="2016"/>
      <c r="AD8" s="2016"/>
      <c r="AE8" s="2016"/>
    </row>
    <row r="9" spans="1:32" s="238" customFormat="1" ht="14.15" customHeight="1">
      <c r="A9" s="904"/>
      <c r="B9" s="239">
        <v>50</v>
      </c>
      <c r="C9" s="239" t="s">
        <v>696</v>
      </c>
      <c r="D9" s="240" t="s">
        <v>1180</v>
      </c>
      <c r="E9" s="2032" t="s">
        <v>2287</v>
      </c>
      <c r="F9" s="2033" t="s">
        <v>2288</v>
      </c>
      <c r="G9" s="2034" t="s">
        <v>2283</v>
      </c>
      <c r="H9" s="241" t="s">
        <v>697</v>
      </c>
      <c r="I9" s="242">
        <v>11900</v>
      </c>
      <c r="J9" s="243">
        <v>6344</v>
      </c>
      <c r="K9" s="242">
        <v>6345</v>
      </c>
      <c r="L9" s="244">
        <v>100</v>
      </c>
      <c r="M9" s="239">
        <v>797</v>
      </c>
      <c r="N9" s="239">
        <v>747</v>
      </c>
      <c r="O9" s="239">
        <v>707</v>
      </c>
      <c r="P9" s="239">
        <v>5785</v>
      </c>
      <c r="Q9" s="239">
        <v>3065</v>
      </c>
      <c r="R9" s="239">
        <v>2581</v>
      </c>
      <c r="S9" s="239">
        <v>427</v>
      </c>
      <c r="T9" s="239">
        <v>427</v>
      </c>
      <c r="U9" s="239">
        <v>344</v>
      </c>
      <c r="V9" s="244">
        <f t="shared" si="0"/>
        <v>93.726474278544543</v>
      </c>
      <c r="W9" s="244">
        <f t="shared" si="1"/>
        <v>88.707653701380167</v>
      </c>
      <c r="X9" s="244">
        <f t="shared" si="2"/>
        <v>84.208809135399676</v>
      </c>
      <c r="Y9" s="246" t="s">
        <v>698</v>
      </c>
      <c r="Z9" s="239">
        <v>1620</v>
      </c>
      <c r="AA9" s="239">
        <v>3490</v>
      </c>
      <c r="AB9" s="2016"/>
      <c r="AC9" s="2016"/>
      <c r="AD9" s="2016"/>
      <c r="AE9" s="2016"/>
    </row>
    <row r="10" spans="1:32" s="238" customFormat="1" ht="14.15" customHeight="1">
      <c r="A10" s="904"/>
      <c r="B10" s="239">
        <v>37</v>
      </c>
      <c r="C10" s="239" t="s">
        <v>699</v>
      </c>
      <c r="D10" s="240" t="s">
        <v>1171</v>
      </c>
      <c r="E10" s="2032" t="s">
        <v>2289</v>
      </c>
      <c r="F10" s="2033" t="s">
        <v>2282</v>
      </c>
      <c r="G10" s="2034" t="s">
        <v>2290</v>
      </c>
      <c r="H10" s="241" t="s">
        <v>700</v>
      </c>
      <c r="I10" s="242">
        <v>119000</v>
      </c>
      <c r="J10" s="243">
        <v>115832</v>
      </c>
      <c r="K10" s="242">
        <v>116019</v>
      </c>
      <c r="L10" s="244">
        <v>99.8</v>
      </c>
      <c r="M10" s="239">
        <v>14673</v>
      </c>
      <c r="N10" s="239">
        <v>13231</v>
      </c>
      <c r="O10" s="239">
        <v>12758</v>
      </c>
      <c r="P10" s="239">
        <v>49000</v>
      </c>
      <c r="Q10" s="239">
        <v>43913</v>
      </c>
      <c r="R10" s="239">
        <v>40200</v>
      </c>
      <c r="S10" s="239">
        <v>412</v>
      </c>
      <c r="T10" s="239">
        <v>379</v>
      </c>
      <c r="U10" s="239">
        <v>347</v>
      </c>
      <c r="V10" s="244">
        <f t="shared" si="0"/>
        <v>90.172425543515303</v>
      </c>
      <c r="W10" s="244">
        <f t="shared" si="1"/>
        <v>86.948817556055332</v>
      </c>
      <c r="X10" s="244">
        <f t="shared" si="2"/>
        <v>91.544645093708013</v>
      </c>
      <c r="Y10" s="246" t="s">
        <v>689</v>
      </c>
      <c r="Z10" s="239">
        <v>1760</v>
      </c>
      <c r="AA10" s="239">
        <v>3685</v>
      </c>
      <c r="AB10" s="2016"/>
      <c r="AC10" s="2016"/>
      <c r="AD10" s="2016"/>
      <c r="AE10" s="2016"/>
    </row>
    <row r="11" spans="1:32" s="238" customFormat="1" ht="14.15" customHeight="1" thickBot="1">
      <c r="A11" s="904"/>
      <c r="B11" s="247">
        <v>86</v>
      </c>
      <c r="C11" s="247" t="s">
        <v>701</v>
      </c>
      <c r="D11" s="248" t="s">
        <v>1171</v>
      </c>
      <c r="E11" s="2035" t="s">
        <v>2281</v>
      </c>
      <c r="F11" s="2036" t="s">
        <v>2282</v>
      </c>
      <c r="G11" s="2037" t="s">
        <v>2291</v>
      </c>
      <c r="H11" s="249" t="s">
        <v>702</v>
      </c>
      <c r="I11" s="250">
        <v>6860</v>
      </c>
      <c r="J11" s="235">
        <v>25</v>
      </c>
      <c r="K11" s="250">
        <v>25</v>
      </c>
      <c r="L11" s="251">
        <v>100</v>
      </c>
      <c r="M11" s="247">
        <v>704</v>
      </c>
      <c r="N11" s="247">
        <v>704</v>
      </c>
      <c r="O11" s="247">
        <v>704</v>
      </c>
      <c r="P11" s="247">
        <v>2058</v>
      </c>
      <c r="Q11" s="247">
        <v>3051</v>
      </c>
      <c r="R11" s="247">
        <v>1929</v>
      </c>
      <c r="S11" s="247">
        <v>300</v>
      </c>
      <c r="T11" s="247">
        <v>122040</v>
      </c>
      <c r="U11" s="247">
        <v>77151</v>
      </c>
      <c r="V11" s="251">
        <f t="shared" si="0"/>
        <v>100</v>
      </c>
      <c r="W11" s="251">
        <f t="shared" si="1"/>
        <v>100</v>
      </c>
      <c r="X11" s="251">
        <f t="shared" si="2"/>
        <v>63.225172074729599</v>
      </c>
      <c r="Y11" s="237" t="s">
        <v>698</v>
      </c>
      <c r="Z11" s="247">
        <v>2750</v>
      </c>
      <c r="AA11" s="247">
        <v>2750</v>
      </c>
      <c r="AB11" s="2016"/>
      <c r="AC11" s="2016"/>
      <c r="AD11" s="2016"/>
      <c r="AE11" s="2016"/>
    </row>
    <row r="12" spans="1:32" ht="14.15" customHeight="1" thickTop="1">
      <c r="A12" s="904"/>
      <c r="B12" s="252"/>
      <c r="C12" s="253" t="s">
        <v>34</v>
      </c>
      <c r="D12" s="254"/>
      <c r="E12" s="255"/>
      <c r="F12" s="256"/>
      <c r="G12" s="257"/>
      <c r="H12" s="258"/>
      <c r="I12" s="259">
        <f>+SUM(I5:I11)</f>
        <v>213180</v>
      </c>
      <c r="J12" s="260">
        <f>+SUM(J5:J11)</f>
        <v>193046</v>
      </c>
      <c r="K12" s="259">
        <f>+SUM(K5:K11)</f>
        <v>193332</v>
      </c>
      <c r="L12" s="261">
        <f t="shared" ref="L12" si="3">+ROUND(J12/K12*100,1)</f>
        <v>99.9</v>
      </c>
      <c r="M12" s="259">
        <f t="shared" ref="M12:R12" si="4">+SUM(M5:M11)</f>
        <v>28337</v>
      </c>
      <c r="N12" s="259">
        <f t="shared" si="4"/>
        <v>24385</v>
      </c>
      <c r="O12" s="259">
        <f t="shared" si="4"/>
        <v>23703</v>
      </c>
      <c r="P12" s="259">
        <f t="shared" si="4"/>
        <v>111999</v>
      </c>
      <c r="Q12" s="259">
        <f t="shared" si="4"/>
        <v>96420</v>
      </c>
      <c r="R12" s="259">
        <f t="shared" si="4"/>
        <v>78247</v>
      </c>
      <c r="S12" s="259">
        <f>+ROUND((P12-2740-700)/I12*1000,0)</f>
        <v>509</v>
      </c>
      <c r="T12" s="259">
        <f>+ROUND((Q12-266-400)/J12*1000,0)</f>
        <v>496</v>
      </c>
      <c r="U12" s="259">
        <f>+ROUND((R12-214-354)/J12*1000,0)</f>
        <v>402</v>
      </c>
      <c r="V12" s="261">
        <f>+ROUND((N12+78+145)/(M12+78+145)*100,1)</f>
        <v>86.2</v>
      </c>
      <c r="W12" s="261">
        <f>+ROUND((O12+78+145)/(M12+78+145)*100,1)</f>
        <v>83.8</v>
      </c>
      <c r="X12" s="261">
        <f>+ROUND(R12/Q12*100,1)</f>
        <v>81.2</v>
      </c>
      <c r="Y12" s="262" t="s">
        <v>703</v>
      </c>
      <c r="Z12" s="259">
        <f>AVERAGE(Z5:Z11)</f>
        <v>1655.5714285714287</v>
      </c>
      <c r="AA12" s="259">
        <f>AVERAGE(AA5:AA11)</f>
        <v>2998.4285714285716</v>
      </c>
      <c r="AB12" s="2016"/>
      <c r="AC12" s="2016"/>
      <c r="AD12" s="2016"/>
      <c r="AE12" s="2016"/>
    </row>
    <row r="13" spans="1:32" ht="13.5" customHeight="1">
      <c r="A13" s="905"/>
      <c r="B13" s="263"/>
      <c r="C13" s="264"/>
      <c r="D13" s="265"/>
      <c r="E13" s="266"/>
      <c r="F13" s="267"/>
      <c r="G13" s="268"/>
      <c r="H13" s="269"/>
      <c r="I13" s="270"/>
      <c r="J13" s="271"/>
      <c r="K13" s="270"/>
      <c r="L13" s="272"/>
      <c r="M13" s="270"/>
      <c r="N13" s="270"/>
      <c r="O13" s="270"/>
      <c r="P13" s="270"/>
      <c r="Q13" s="270"/>
      <c r="R13" s="270"/>
      <c r="S13" s="270"/>
      <c r="T13" s="270"/>
      <c r="U13" s="270"/>
      <c r="V13" s="272"/>
      <c r="W13" s="272"/>
      <c r="X13" s="272"/>
      <c r="Y13" s="270"/>
      <c r="Z13" s="270"/>
      <c r="AA13" s="270"/>
      <c r="AB13" s="2016"/>
      <c r="AC13" s="2016"/>
      <c r="AD13" s="2016"/>
      <c r="AE13" s="2016"/>
    </row>
    <row r="14" spans="1:32" s="238" customFormat="1" ht="14.15" customHeight="1">
      <c r="A14" s="903" t="s">
        <v>704</v>
      </c>
      <c r="B14" s="231">
        <v>3</v>
      </c>
      <c r="C14" s="231" t="s">
        <v>705</v>
      </c>
      <c r="D14" s="232" t="s">
        <v>1171</v>
      </c>
      <c r="E14" s="2029" t="s">
        <v>2292</v>
      </c>
      <c r="F14" s="2030" t="s">
        <v>2282</v>
      </c>
      <c r="G14" s="2031" t="s">
        <v>2281</v>
      </c>
      <c r="H14" s="233" t="s">
        <v>706</v>
      </c>
      <c r="I14" s="250">
        <v>135000</v>
      </c>
      <c r="J14" s="235">
        <v>129488</v>
      </c>
      <c r="K14" s="250">
        <v>129543</v>
      </c>
      <c r="L14" s="236">
        <v>100</v>
      </c>
      <c r="M14" s="231">
        <v>17021</v>
      </c>
      <c r="N14" s="231">
        <v>14669</v>
      </c>
      <c r="O14" s="231">
        <v>14320</v>
      </c>
      <c r="P14" s="231">
        <v>57600</v>
      </c>
      <c r="Q14" s="231">
        <v>50760</v>
      </c>
      <c r="R14" s="231">
        <v>46633</v>
      </c>
      <c r="S14" s="231">
        <v>427</v>
      </c>
      <c r="T14" s="231">
        <v>392</v>
      </c>
      <c r="U14" s="231">
        <v>360</v>
      </c>
      <c r="V14" s="236">
        <f t="shared" ref="V14:V16" si="5">(N14/M14)*100</f>
        <v>86.181775453851131</v>
      </c>
      <c r="W14" s="236">
        <f t="shared" ref="W14:W16" si="6">(O14/M14)*100</f>
        <v>84.131367134715944</v>
      </c>
      <c r="X14" s="236">
        <f t="shared" ref="X14:X16" si="7">(R14/Q14)*100</f>
        <v>91.869582348305755</v>
      </c>
      <c r="Y14" s="237" t="s">
        <v>689</v>
      </c>
      <c r="Z14" s="231">
        <v>1206</v>
      </c>
      <c r="AA14" s="231">
        <v>2746</v>
      </c>
      <c r="AB14" s="2016"/>
      <c r="AC14" s="2016"/>
      <c r="AD14" s="2016"/>
      <c r="AE14" s="2016"/>
    </row>
    <row r="15" spans="1:32" s="238" customFormat="1" ht="14.15" customHeight="1">
      <c r="A15" s="904"/>
      <c r="B15" s="239">
        <v>53</v>
      </c>
      <c r="C15" s="239" t="s">
        <v>707</v>
      </c>
      <c r="D15" s="240" t="s">
        <v>1171</v>
      </c>
      <c r="E15" s="2032" t="s">
        <v>2293</v>
      </c>
      <c r="F15" s="2038" t="s">
        <v>2282</v>
      </c>
      <c r="G15" s="2034" t="s">
        <v>2284</v>
      </c>
      <c r="H15" s="241" t="s">
        <v>700</v>
      </c>
      <c r="I15" s="242">
        <v>28600</v>
      </c>
      <c r="J15" s="243">
        <v>26705</v>
      </c>
      <c r="K15" s="242">
        <v>26765</v>
      </c>
      <c r="L15" s="244">
        <v>99.8</v>
      </c>
      <c r="M15" s="239">
        <v>3518</v>
      </c>
      <c r="N15" s="239">
        <v>2990</v>
      </c>
      <c r="O15" s="239">
        <v>2990</v>
      </c>
      <c r="P15" s="239">
        <v>13400</v>
      </c>
      <c r="Q15" s="239">
        <v>11952</v>
      </c>
      <c r="R15" s="239">
        <v>9638</v>
      </c>
      <c r="S15" s="239">
        <v>469</v>
      </c>
      <c r="T15" s="239">
        <v>448</v>
      </c>
      <c r="U15" s="239">
        <v>361</v>
      </c>
      <c r="V15" s="244">
        <f t="shared" si="5"/>
        <v>84.991472427515632</v>
      </c>
      <c r="W15" s="244">
        <f t="shared" si="6"/>
        <v>84.991472427515632</v>
      </c>
      <c r="X15" s="244">
        <f t="shared" si="7"/>
        <v>80.63922356091031</v>
      </c>
      <c r="Y15" s="245" t="s">
        <v>698</v>
      </c>
      <c r="Z15" s="239">
        <v>1749</v>
      </c>
      <c r="AA15" s="239">
        <v>3509</v>
      </c>
      <c r="AB15" s="2016"/>
      <c r="AC15" s="2016"/>
      <c r="AD15" s="2016"/>
      <c r="AE15" s="2016"/>
    </row>
    <row r="16" spans="1:32" s="238" customFormat="1" ht="14.15" customHeight="1" thickBot="1">
      <c r="A16" s="904"/>
      <c r="B16" s="239">
        <v>92</v>
      </c>
      <c r="C16" s="239" t="s">
        <v>708</v>
      </c>
      <c r="D16" s="248" t="s">
        <v>1171</v>
      </c>
      <c r="E16" s="2035" t="s">
        <v>2292</v>
      </c>
      <c r="F16" s="2039" t="s">
        <v>2282</v>
      </c>
      <c r="G16" s="273" t="s">
        <v>2294</v>
      </c>
      <c r="H16" s="241" t="s">
        <v>709</v>
      </c>
      <c r="I16" s="242">
        <v>6130</v>
      </c>
      <c r="J16" s="243">
        <v>5274</v>
      </c>
      <c r="K16" s="242">
        <v>5274</v>
      </c>
      <c r="L16" s="244">
        <v>100</v>
      </c>
      <c r="M16" s="239">
        <v>1331</v>
      </c>
      <c r="N16" s="239">
        <v>1008</v>
      </c>
      <c r="O16" s="239">
        <v>626</v>
      </c>
      <c r="P16" s="239">
        <v>6330</v>
      </c>
      <c r="Q16" s="239">
        <v>6042</v>
      </c>
      <c r="R16" s="239">
        <v>3647</v>
      </c>
      <c r="S16" s="239">
        <v>1033</v>
      </c>
      <c r="T16" s="239">
        <v>1146</v>
      </c>
      <c r="U16" s="239">
        <v>691</v>
      </c>
      <c r="V16" s="244">
        <f t="shared" si="5"/>
        <v>75.732531930879048</v>
      </c>
      <c r="W16" s="244">
        <f t="shared" si="6"/>
        <v>47.032306536438767</v>
      </c>
      <c r="X16" s="244">
        <f t="shared" si="7"/>
        <v>60.360807679576297</v>
      </c>
      <c r="Y16" s="245" t="s">
        <v>710</v>
      </c>
      <c r="Z16" s="239">
        <v>1397</v>
      </c>
      <c r="AA16" s="239">
        <v>3047</v>
      </c>
      <c r="AB16" s="2016"/>
      <c r="AC16" s="2016"/>
      <c r="AD16" s="2016"/>
      <c r="AE16" s="2016"/>
    </row>
    <row r="17" spans="1:31" ht="14.15" customHeight="1" thickTop="1">
      <c r="A17" s="904"/>
      <c r="B17" s="252"/>
      <c r="C17" s="253" t="s">
        <v>34</v>
      </c>
      <c r="D17" s="274"/>
      <c r="E17" s="275"/>
      <c r="F17" s="276"/>
      <c r="G17" s="277"/>
      <c r="H17" s="278"/>
      <c r="I17" s="259">
        <f>+SUM(I14:I16)</f>
        <v>169730</v>
      </c>
      <c r="J17" s="260">
        <f>+SUM(J14:J16)</f>
        <v>161467</v>
      </c>
      <c r="K17" s="259">
        <f>+SUM(K14:K16)</f>
        <v>161582</v>
      </c>
      <c r="L17" s="261">
        <f>+ROUND(J17/K17*100,1)</f>
        <v>99.9</v>
      </c>
      <c r="M17" s="259">
        <f t="shared" ref="M17:R17" si="8">+SUM(M14:M16)</f>
        <v>21870</v>
      </c>
      <c r="N17" s="259">
        <f t="shared" si="8"/>
        <v>18667</v>
      </c>
      <c r="O17" s="259">
        <f t="shared" si="8"/>
        <v>17936</v>
      </c>
      <c r="P17" s="259">
        <f t="shared" si="8"/>
        <v>77330</v>
      </c>
      <c r="Q17" s="259">
        <f t="shared" si="8"/>
        <v>68754</v>
      </c>
      <c r="R17" s="259">
        <f t="shared" si="8"/>
        <v>59918</v>
      </c>
      <c r="S17" s="259">
        <f>+ROUND(P17/I17*1000,0)</f>
        <v>456</v>
      </c>
      <c r="T17" s="259">
        <f>+ROUND(Q17/J17*1000,0)</f>
        <v>426</v>
      </c>
      <c r="U17" s="259">
        <f>+ROUND(R17/J17*1000,0)</f>
        <v>371</v>
      </c>
      <c r="V17" s="261">
        <f>+ROUND(N17/M17*100,1)</f>
        <v>85.4</v>
      </c>
      <c r="W17" s="261">
        <f>+ROUND(O17/M17*100,1)</f>
        <v>82</v>
      </c>
      <c r="X17" s="261">
        <f>+ROUND(R17/Q17*100,1)</f>
        <v>87.1</v>
      </c>
      <c r="Y17" s="262" t="s">
        <v>703</v>
      </c>
      <c r="Z17" s="259">
        <f>AVERAGE(Z14:Z16)</f>
        <v>1450.6666666666667</v>
      </c>
      <c r="AA17" s="259">
        <f>AVERAGE(AA14:AA16)</f>
        <v>3100.6666666666665</v>
      </c>
      <c r="AB17" s="2016"/>
      <c r="AC17" s="2016"/>
      <c r="AD17" s="2016"/>
      <c r="AE17" s="2016"/>
    </row>
    <row r="18" spans="1:31" ht="14.15" customHeight="1">
      <c r="A18" s="905"/>
      <c r="B18" s="263"/>
      <c r="C18" s="264"/>
      <c r="D18" s="265"/>
      <c r="E18" s="266"/>
      <c r="F18" s="267"/>
      <c r="G18" s="268"/>
      <c r="H18" s="269"/>
      <c r="I18" s="270"/>
      <c r="J18" s="271"/>
      <c r="K18" s="270"/>
      <c r="L18" s="272"/>
      <c r="M18" s="270"/>
      <c r="N18" s="270"/>
      <c r="O18" s="270"/>
      <c r="P18" s="270"/>
      <c r="Q18" s="270"/>
      <c r="R18" s="270"/>
      <c r="S18" s="270"/>
      <c r="T18" s="270"/>
      <c r="U18" s="270"/>
      <c r="V18" s="272"/>
      <c r="W18" s="272"/>
      <c r="X18" s="272"/>
      <c r="Y18" s="270"/>
      <c r="Z18" s="270"/>
      <c r="AA18" s="270"/>
      <c r="AB18" s="2016"/>
      <c r="AC18" s="2016"/>
      <c r="AD18" s="2016"/>
      <c r="AE18" s="2016"/>
    </row>
    <row r="19" spans="1:31" s="238" customFormat="1" ht="14.15" customHeight="1">
      <c r="A19" s="903" t="s">
        <v>711</v>
      </c>
      <c r="B19" s="231">
        <v>14</v>
      </c>
      <c r="C19" s="231" t="s">
        <v>712</v>
      </c>
      <c r="D19" s="232" t="s">
        <v>1101</v>
      </c>
      <c r="E19" s="2040" t="s">
        <v>2282</v>
      </c>
      <c r="F19" s="2030" t="s">
        <v>2282</v>
      </c>
      <c r="G19" s="2031" t="s">
        <v>2292</v>
      </c>
      <c r="H19" s="233" t="s">
        <v>2295</v>
      </c>
      <c r="I19" s="250">
        <v>47800</v>
      </c>
      <c r="J19" s="235">
        <v>47175</v>
      </c>
      <c r="K19" s="250">
        <v>47183</v>
      </c>
      <c r="L19" s="236">
        <v>100</v>
      </c>
      <c r="M19" s="231">
        <v>6876</v>
      </c>
      <c r="N19" s="231">
        <v>5438</v>
      </c>
      <c r="O19" s="231">
        <v>5213</v>
      </c>
      <c r="P19" s="231">
        <v>21700</v>
      </c>
      <c r="Q19" s="231">
        <v>21147</v>
      </c>
      <c r="R19" s="231">
        <v>18838</v>
      </c>
      <c r="S19" s="231">
        <v>454</v>
      </c>
      <c r="T19" s="231">
        <v>448</v>
      </c>
      <c r="U19" s="231">
        <v>399</v>
      </c>
      <c r="V19" s="236">
        <f t="shared" ref="V19:V29" si="9">(N19/M19)*100</f>
        <v>79.086678301337983</v>
      </c>
      <c r="W19" s="236">
        <f t="shared" ref="W19:W29" si="10">(O19/M19)*100</f>
        <v>75.814426992437461</v>
      </c>
      <c r="X19" s="236">
        <f t="shared" ref="X19:X29" si="11">(R19/Q19)*100</f>
        <v>89.081193549912513</v>
      </c>
      <c r="Y19" s="237" t="s">
        <v>689</v>
      </c>
      <c r="Z19" s="231">
        <v>1782</v>
      </c>
      <c r="AA19" s="231">
        <v>2568</v>
      </c>
      <c r="AB19" s="2016"/>
      <c r="AC19" s="2016"/>
      <c r="AD19" s="2016"/>
      <c r="AE19" s="2016"/>
    </row>
    <row r="20" spans="1:31" s="238" customFormat="1" ht="14.15" customHeight="1">
      <c r="A20" s="904"/>
      <c r="B20" s="239">
        <v>5</v>
      </c>
      <c r="C20" s="239" t="s">
        <v>714</v>
      </c>
      <c r="D20" s="240" t="s">
        <v>1171</v>
      </c>
      <c r="E20" s="2032" t="s">
        <v>2293</v>
      </c>
      <c r="F20" s="2038" t="s">
        <v>2296</v>
      </c>
      <c r="G20" s="2034" t="s">
        <v>2286</v>
      </c>
      <c r="H20" s="241" t="s">
        <v>715</v>
      </c>
      <c r="I20" s="242">
        <v>50400</v>
      </c>
      <c r="J20" s="243">
        <v>47749</v>
      </c>
      <c r="K20" s="242">
        <v>47749</v>
      </c>
      <c r="L20" s="244">
        <v>100</v>
      </c>
      <c r="M20" s="239">
        <v>7936</v>
      </c>
      <c r="N20" s="239">
        <v>6751</v>
      </c>
      <c r="O20" s="239">
        <v>6628</v>
      </c>
      <c r="P20" s="239">
        <v>34800</v>
      </c>
      <c r="Q20" s="239">
        <v>25008</v>
      </c>
      <c r="R20" s="239">
        <v>21742</v>
      </c>
      <c r="S20" s="239">
        <v>690</v>
      </c>
      <c r="T20" s="239">
        <v>524</v>
      </c>
      <c r="U20" s="239">
        <v>455</v>
      </c>
      <c r="V20" s="244">
        <f t="shared" si="9"/>
        <v>85.068044354838719</v>
      </c>
      <c r="W20" s="244">
        <f t="shared" si="10"/>
        <v>83.51814516129032</v>
      </c>
      <c r="X20" s="244">
        <f t="shared" si="11"/>
        <v>86.940179142674339</v>
      </c>
      <c r="Y20" s="246" t="s">
        <v>698</v>
      </c>
      <c r="Z20" s="239">
        <v>862</v>
      </c>
      <c r="AA20" s="239">
        <v>1972</v>
      </c>
      <c r="AB20" s="2016"/>
      <c r="AC20" s="2016"/>
      <c r="AD20" s="2016"/>
      <c r="AE20" s="2016"/>
    </row>
    <row r="21" spans="1:31" s="238" customFormat="1" ht="14.15" customHeight="1">
      <c r="A21" s="904"/>
      <c r="B21" s="239">
        <v>45</v>
      </c>
      <c r="C21" s="239" t="s">
        <v>716</v>
      </c>
      <c r="D21" s="240" t="s">
        <v>1171</v>
      </c>
      <c r="E21" s="2032" t="s">
        <v>2292</v>
      </c>
      <c r="F21" s="2038" t="s">
        <v>2282</v>
      </c>
      <c r="G21" s="2034" t="s">
        <v>2281</v>
      </c>
      <c r="H21" s="241" t="s">
        <v>709</v>
      </c>
      <c r="I21" s="242">
        <v>52800</v>
      </c>
      <c r="J21" s="243">
        <v>52627</v>
      </c>
      <c r="K21" s="242">
        <v>52685</v>
      </c>
      <c r="L21" s="244">
        <v>99.9</v>
      </c>
      <c r="M21" s="239">
        <v>9023</v>
      </c>
      <c r="N21" s="239">
        <v>7116</v>
      </c>
      <c r="O21" s="239">
        <v>7088</v>
      </c>
      <c r="P21" s="239">
        <v>37500</v>
      </c>
      <c r="Q21" s="239">
        <v>32069</v>
      </c>
      <c r="R21" s="239">
        <v>24721</v>
      </c>
      <c r="S21" s="239">
        <v>710</v>
      </c>
      <c r="T21" s="239">
        <v>609</v>
      </c>
      <c r="U21" s="239">
        <v>470</v>
      </c>
      <c r="V21" s="244">
        <f t="shared" si="9"/>
        <v>78.865122464812146</v>
      </c>
      <c r="W21" s="244">
        <f t="shared" si="10"/>
        <v>78.55480438878422</v>
      </c>
      <c r="X21" s="244">
        <f t="shared" si="11"/>
        <v>77.086906358165209</v>
      </c>
      <c r="Y21" s="246" t="s">
        <v>689</v>
      </c>
      <c r="Z21" s="239">
        <v>1320</v>
      </c>
      <c r="AA21" s="239">
        <v>2585</v>
      </c>
      <c r="AB21" s="2016"/>
      <c r="AC21" s="2016"/>
      <c r="AD21" s="2016"/>
      <c r="AE21" s="2016"/>
    </row>
    <row r="22" spans="1:31" s="238" customFormat="1" ht="14.15" customHeight="1">
      <c r="A22" s="904"/>
      <c r="B22" s="239">
        <v>17</v>
      </c>
      <c r="C22" s="239" t="s">
        <v>717</v>
      </c>
      <c r="D22" s="240" t="s">
        <v>1171</v>
      </c>
      <c r="E22" s="2032" t="s">
        <v>2291</v>
      </c>
      <c r="F22" s="2038" t="s">
        <v>2282</v>
      </c>
      <c r="G22" s="2034" t="s">
        <v>2289</v>
      </c>
      <c r="H22" s="241" t="s">
        <v>718</v>
      </c>
      <c r="I22" s="242">
        <v>21000</v>
      </c>
      <c r="J22" s="243">
        <v>18760</v>
      </c>
      <c r="K22" s="242">
        <v>18760</v>
      </c>
      <c r="L22" s="244">
        <v>100</v>
      </c>
      <c r="M22" s="239">
        <v>3114</v>
      </c>
      <c r="N22" s="239">
        <v>2126</v>
      </c>
      <c r="O22" s="239">
        <v>2126</v>
      </c>
      <c r="P22" s="239">
        <v>12000</v>
      </c>
      <c r="Q22" s="239">
        <v>9602</v>
      </c>
      <c r="R22" s="239">
        <v>8532</v>
      </c>
      <c r="S22" s="239">
        <v>571</v>
      </c>
      <c r="T22" s="239">
        <v>512</v>
      </c>
      <c r="U22" s="239">
        <v>455</v>
      </c>
      <c r="V22" s="244">
        <f t="shared" si="9"/>
        <v>68.272318561335894</v>
      </c>
      <c r="W22" s="244">
        <f t="shared" si="10"/>
        <v>68.272318561335894</v>
      </c>
      <c r="X22" s="244">
        <f t="shared" si="11"/>
        <v>88.856488231618414</v>
      </c>
      <c r="Y22" s="237" t="s">
        <v>689</v>
      </c>
      <c r="Z22" s="239">
        <v>828</v>
      </c>
      <c r="AA22" s="239">
        <v>1763</v>
      </c>
      <c r="AB22" s="2016"/>
      <c r="AC22" s="2016"/>
      <c r="AD22" s="2016"/>
      <c r="AE22" s="2016"/>
    </row>
    <row r="23" spans="1:31" s="238" customFormat="1" ht="14.15" customHeight="1">
      <c r="A23" s="904"/>
      <c r="B23" s="239">
        <v>58</v>
      </c>
      <c r="C23" s="239" t="s">
        <v>719</v>
      </c>
      <c r="D23" s="240" t="s">
        <v>1171</v>
      </c>
      <c r="E23" s="2032" t="s">
        <v>2281</v>
      </c>
      <c r="F23" s="2038" t="s">
        <v>2282</v>
      </c>
      <c r="G23" s="2034" t="s">
        <v>2297</v>
      </c>
      <c r="H23" s="241" t="s">
        <v>702</v>
      </c>
      <c r="I23" s="242">
        <v>14200</v>
      </c>
      <c r="J23" s="243">
        <v>13529</v>
      </c>
      <c r="K23" s="242">
        <v>13784</v>
      </c>
      <c r="L23" s="244">
        <v>98.2</v>
      </c>
      <c r="M23" s="239">
        <v>3759</v>
      </c>
      <c r="N23" s="239">
        <v>3022</v>
      </c>
      <c r="O23" s="239">
        <v>2897</v>
      </c>
      <c r="P23" s="239">
        <v>14600</v>
      </c>
      <c r="Q23" s="239">
        <v>14166</v>
      </c>
      <c r="R23" s="239">
        <v>10299</v>
      </c>
      <c r="S23" s="239">
        <v>1028</v>
      </c>
      <c r="T23" s="239">
        <v>1047</v>
      </c>
      <c r="U23" s="239">
        <v>761</v>
      </c>
      <c r="V23" s="244">
        <f t="shared" si="9"/>
        <v>80.393721734503856</v>
      </c>
      <c r="W23" s="244">
        <f t="shared" si="10"/>
        <v>77.068369247140197</v>
      </c>
      <c r="X23" s="244">
        <f t="shared" si="11"/>
        <v>72.702244811520544</v>
      </c>
      <c r="Y23" s="246" t="s">
        <v>698</v>
      </c>
      <c r="Z23" s="239">
        <v>1320</v>
      </c>
      <c r="AA23" s="239">
        <v>2860</v>
      </c>
      <c r="AB23" s="2016"/>
      <c r="AC23" s="2016"/>
      <c r="AD23" s="2016"/>
      <c r="AE23" s="2016"/>
    </row>
    <row r="24" spans="1:31" s="238" customFormat="1" ht="14.15" customHeight="1">
      <c r="A24" s="904"/>
      <c r="B24" s="239">
        <v>56</v>
      </c>
      <c r="C24" s="239" t="s">
        <v>720</v>
      </c>
      <c r="D24" s="240" t="s">
        <v>1171</v>
      </c>
      <c r="E24" s="2032" t="s">
        <v>2293</v>
      </c>
      <c r="F24" s="2038" t="s">
        <v>2282</v>
      </c>
      <c r="G24" s="2034" t="s">
        <v>2290</v>
      </c>
      <c r="H24" s="241" t="s">
        <v>715</v>
      </c>
      <c r="I24" s="242">
        <v>7610</v>
      </c>
      <c r="J24" s="243">
        <v>7573</v>
      </c>
      <c r="K24" s="242">
        <v>7604</v>
      </c>
      <c r="L24" s="244">
        <v>99.6</v>
      </c>
      <c r="M24" s="239">
        <v>1013</v>
      </c>
      <c r="N24" s="239">
        <v>768</v>
      </c>
      <c r="O24" s="239">
        <v>768</v>
      </c>
      <c r="P24" s="239">
        <v>3750</v>
      </c>
      <c r="Q24" s="239">
        <v>3937</v>
      </c>
      <c r="R24" s="239">
        <v>2775</v>
      </c>
      <c r="S24" s="239">
        <v>493</v>
      </c>
      <c r="T24" s="239">
        <v>520</v>
      </c>
      <c r="U24" s="239">
        <v>366</v>
      </c>
      <c r="V24" s="244">
        <f t="shared" si="9"/>
        <v>75.814412635735437</v>
      </c>
      <c r="W24" s="244">
        <f t="shared" si="10"/>
        <v>75.814412635735437</v>
      </c>
      <c r="X24" s="244">
        <f t="shared" si="11"/>
        <v>70.485140970281947</v>
      </c>
      <c r="Y24" s="246" t="s">
        <v>693</v>
      </c>
      <c r="Z24" s="239">
        <v>1210</v>
      </c>
      <c r="AA24" s="239">
        <v>2640</v>
      </c>
      <c r="AB24" s="2016"/>
      <c r="AC24" s="2016"/>
      <c r="AD24" s="2016"/>
      <c r="AE24" s="2016"/>
    </row>
    <row r="25" spans="1:31" s="238" customFormat="1" ht="14.15" customHeight="1">
      <c r="A25" s="904"/>
      <c r="B25" s="239">
        <v>71</v>
      </c>
      <c r="C25" s="239" t="s">
        <v>721</v>
      </c>
      <c r="D25" s="240" t="s">
        <v>1171</v>
      </c>
      <c r="E25" s="2032" t="s">
        <v>2298</v>
      </c>
      <c r="F25" s="2038" t="s">
        <v>2299</v>
      </c>
      <c r="G25" s="2034" t="s">
        <v>210</v>
      </c>
      <c r="H25" s="241" t="s">
        <v>715</v>
      </c>
      <c r="I25" s="242">
        <v>8000</v>
      </c>
      <c r="J25" s="243">
        <v>154</v>
      </c>
      <c r="K25" s="242">
        <v>154</v>
      </c>
      <c r="L25" s="244">
        <v>100</v>
      </c>
      <c r="M25" s="239">
        <v>616</v>
      </c>
      <c r="N25" s="239">
        <v>551</v>
      </c>
      <c r="O25" s="239">
        <v>431</v>
      </c>
      <c r="P25" s="239">
        <v>3200</v>
      </c>
      <c r="Q25" s="239">
        <v>3200</v>
      </c>
      <c r="R25" s="239">
        <v>1688</v>
      </c>
      <c r="S25" s="239">
        <v>400</v>
      </c>
      <c r="T25" s="239">
        <v>20779</v>
      </c>
      <c r="U25" s="239">
        <v>10959</v>
      </c>
      <c r="V25" s="244">
        <f t="shared" si="9"/>
        <v>89.44805194805194</v>
      </c>
      <c r="W25" s="244">
        <f t="shared" si="10"/>
        <v>69.967532467532465</v>
      </c>
      <c r="X25" s="244">
        <f t="shared" si="11"/>
        <v>52.75</v>
      </c>
      <c r="Y25" s="246" t="s">
        <v>710</v>
      </c>
      <c r="Z25" s="239">
        <v>2249</v>
      </c>
      <c r="AA25" s="239">
        <v>4239</v>
      </c>
      <c r="AB25" s="2016"/>
      <c r="AC25" s="2016"/>
      <c r="AD25" s="2016"/>
      <c r="AE25" s="2016"/>
    </row>
    <row r="26" spans="1:31" s="238" customFormat="1" ht="14.15" customHeight="1">
      <c r="A26" s="904"/>
      <c r="B26" s="239">
        <v>78</v>
      </c>
      <c r="C26" s="239" t="s">
        <v>722</v>
      </c>
      <c r="D26" s="240" t="s">
        <v>1171</v>
      </c>
      <c r="E26" s="2032" t="s">
        <v>2291</v>
      </c>
      <c r="F26" s="2038" t="s">
        <v>2282</v>
      </c>
      <c r="G26" s="2034" t="s">
        <v>213</v>
      </c>
      <c r="H26" s="241" t="s">
        <v>706</v>
      </c>
      <c r="I26" s="242">
        <v>7700</v>
      </c>
      <c r="J26" s="243">
        <v>395</v>
      </c>
      <c r="K26" s="242">
        <v>395</v>
      </c>
      <c r="L26" s="244">
        <v>100</v>
      </c>
      <c r="M26" s="239">
        <v>990</v>
      </c>
      <c r="N26" s="239">
        <v>673</v>
      </c>
      <c r="O26" s="239">
        <v>488</v>
      </c>
      <c r="P26" s="239">
        <v>3440</v>
      </c>
      <c r="Q26" s="239">
        <v>4060</v>
      </c>
      <c r="R26" s="239">
        <v>2712</v>
      </c>
      <c r="S26" s="239">
        <v>447</v>
      </c>
      <c r="T26" s="239">
        <v>10278</v>
      </c>
      <c r="U26" s="239">
        <v>6867</v>
      </c>
      <c r="V26" s="244">
        <f t="shared" si="9"/>
        <v>67.979797979797979</v>
      </c>
      <c r="W26" s="244">
        <f t="shared" si="10"/>
        <v>49.292929292929294</v>
      </c>
      <c r="X26" s="244">
        <f t="shared" si="11"/>
        <v>66.798029556650249</v>
      </c>
      <c r="Y26" s="237" t="s">
        <v>693</v>
      </c>
      <c r="Z26" s="239">
        <v>2998</v>
      </c>
      <c r="AA26" s="239">
        <v>4318</v>
      </c>
      <c r="AB26" s="2016"/>
      <c r="AC26" s="2016"/>
      <c r="AD26" s="2016"/>
      <c r="AE26" s="2016"/>
    </row>
    <row r="27" spans="1:31" s="238" customFormat="1" ht="14.15" customHeight="1">
      <c r="A27" s="904"/>
      <c r="B27" s="239">
        <v>79</v>
      </c>
      <c r="C27" s="239" t="s">
        <v>723</v>
      </c>
      <c r="D27" s="240" t="s">
        <v>1101</v>
      </c>
      <c r="E27" s="2032" t="s">
        <v>2282</v>
      </c>
      <c r="F27" s="2038" t="s">
        <v>2300</v>
      </c>
      <c r="G27" s="2034" t="s">
        <v>2284</v>
      </c>
      <c r="H27" s="241" t="s">
        <v>700</v>
      </c>
      <c r="I27" s="242">
        <v>7067</v>
      </c>
      <c r="J27" s="243">
        <v>511</v>
      </c>
      <c r="K27" s="242">
        <v>511</v>
      </c>
      <c r="L27" s="244">
        <v>100</v>
      </c>
      <c r="M27" s="239">
        <v>275</v>
      </c>
      <c r="N27" s="239">
        <v>165</v>
      </c>
      <c r="O27" s="239">
        <v>164</v>
      </c>
      <c r="P27" s="239">
        <v>2194</v>
      </c>
      <c r="Q27" s="239">
        <v>1448</v>
      </c>
      <c r="R27" s="239">
        <v>753</v>
      </c>
      <c r="S27" s="239">
        <v>310</v>
      </c>
      <c r="T27" s="239">
        <v>2834</v>
      </c>
      <c r="U27" s="239">
        <v>1474</v>
      </c>
      <c r="V27" s="244">
        <f t="shared" si="9"/>
        <v>60</v>
      </c>
      <c r="W27" s="244">
        <f t="shared" si="10"/>
        <v>59.636363636363633</v>
      </c>
      <c r="X27" s="244">
        <f t="shared" si="11"/>
        <v>52.002762430939228</v>
      </c>
      <c r="Y27" s="245" t="s">
        <v>689</v>
      </c>
      <c r="Z27" s="239">
        <v>3580</v>
      </c>
      <c r="AA27" s="239">
        <v>3580</v>
      </c>
      <c r="AB27" s="2016"/>
      <c r="AC27" s="2016"/>
      <c r="AD27" s="2016"/>
      <c r="AE27" s="2016"/>
    </row>
    <row r="28" spans="1:31" s="238" customFormat="1" ht="14.15" customHeight="1">
      <c r="A28" s="904"/>
      <c r="B28" s="239">
        <v>80</v>
      </c>
      <c r="C28" s="239" t="s">
        <v>724</v>
      </c>
      <c r="D28" s="240" t="s">
        <v>1171</v>
      </c>
      <c r="E28" s="2032" t="s">
        <v>2292</v>
      </c>
      <c r="F28" s="2038" t="s">
        <v>2282</v>
      </c>
      <c r="G28" s="2034" t="s">
        <v>213</v>
      </c>
      <c r="H28" s="241" t="s">
        <v>700</v>
      </c>
      <c r="I28" s="242">
        <v>10000</v>
      </c>
      <c r="J28" s="243">
        <v>71</v>
      </c>
      <c r="K28" s="242">
        <v>71</v>
      </c>
      <c r="L28" s="244">
        <v>100</v>
      </c>
      <c r="M28" s="239">
        <v>371</v>
      </c>
      <c r="N28" s="239">
        <v>173</v>
      </c>
      <c r="O28" s="239">
        <v>158</v>
      </c>
      <c r="P28" s="239">
        <v>3400</v>
      </c>
      <c r="Q28" s="239">
        <v>2110</v>
      </c>
      <c r="R28" s="239">
        <v>1400</v>
      </c>
      <c r="S28" s="239">
        <v>340</v>
      </c>
      <c r="T28" s="239">
        <v>29718</v>
      </c>
      <c r="U28" s="239">
        <v>19718</v>
      </c>
      <c r="V28" s="244">
        <f t="shared" si="9"/>
        <v>46.63072776280324</v>
      </c>
      <c r="W28" s="244">
        <f t="shared" si="10"/>
        <v>42.587601078167111</v>
      </c>
      <c r="X28" s="244">
        <f t="shared" si="11"/>
        <v>66.350710900473928</v>
      </c>
      <c r="Y28" s="245" t="s">
        <v>689</v>
      </c>
      <c r="Z28" s="239">
        <v>2805</v>
      </c>
      <c r="AA28" s="239">
        <v>4675</v>
      </c>
      <c r="AB28" s="2016"/>
      <c r="AC28" s="2016"/>
      <c r="AD28" s="2016"/>
      <c r="AE28" s="2016"/>
    </row>
    <row r="29" spans="1:31" s="238" customFormat="1" ht="14.15" customHeight="1" thickBot="1">
      <c r="A29" s="904"/>
      <c r="B29" s="247">
        <v>85</v>
      </c>
      <c r="C29" s="247" t="s">
        <v>725</v>
      </c>
      <c r="D29" s="248" t="s">
        <v>1171</v>
      </c>
      <c r="E29" s="2035" t="s">
        <v>2292</v>
      </c>
      <c r="F29" s="2039" t="s">
        <v>210</v>
      </c>
      <c r="G29" s="2037" t="s">
        <v>2292</v>
      </c>
      <c r="H29" s="249" t="s">
        <v>700</v>
      </c>
      <c r="I29" s="250">
        <v>6516</v>
      </c>
      <c r="J29" s="235">
        <v>204</v>
      </c>
      <c r="K29" s="250">
        <v>204</v>
      </c>
      <c r="L29" s="251">
        <v>100</v>
      </c>
      <c r="M29" s="247">
        <v>173</v>
      </c>
      <c r="N29" s="247">
        <v>84</v>
      </c>
      <c r="O29" s="247">
        <v>75</v>
      </c>
      <c r="P29" s="247">
        <v>1712</v>
      </c>
      <c r="Q29" s="247">
        <v>1093</v>
      </c>
      <c r="R29" s="247">
        <v>474</v>
      </c>
      <c r="S29" s="247">
        <v>263</v>
      </c>
      <c r="T29" s="247">
        <v>5358</v>
      </c>
      <c r="U29" s="247">
        <v>2323</v>
      </c>
      <c r="V29" s="251">
        <f t="shared" si="9"/>
        <v>48.554913294797686</v>
      </c>
      <c r="W29" s="251">
        <f t="shared" si="10"/>
        <v>43.352601156069362</v>
      </c>
      <c r="X29" s="251">
        <f t="shared" si="11"/>
        <v>43.366880146386094</v>
      </c>
      <c r="Y29" s="279" t="s">
        <v>693</v>
      </c>
      <c r="Z29" s="239">
        <v>3300</v>
      </c>
      <c r="AA29" s="247">
        <v>3300</v>
      </c>
      <c r="AB29" s="2016"/>
      <c r="AC29" s="2016"/>
      <c r="AD29" s="2016"/>
      <c r="AE29" s="2016"/>
    </row>
    <row r="30" spans="1:31" ht="14.15" customHeight="1" thickTop="1">
      <c r="A30" s="904"/>
      <c r="B30" s="252"/>
      <c r="C30" s="253" t="s">
        <v>34</v>
      </c>
      <c r="D30" s="274"/>
      <c r="E30" s="275"/>
      <c r="F30" s="276"/>
      <c r="G30" s="277"/>
      <c r="H30" s="258"/>
      <c r="I30" s="259">
        <f>+SUM(I19:I29)</f>
        <v>233093</v>
      </c>
      <c r="J30" s="260">
        <f>+SUM(J19:J29)</f>
        <v>188748</v>
      </c>
      <c r="K30" s="259">
        <f>+SUM(K19:K29)</f>
        <v>189100</v>
      </c>
      <c r="L30" s="261">
        <f t="shared" ref="L30" si="12">+ROUND(J30/K30*100,1)</f>
        <v>99.8</v>
      </c>
      <c r="M30" s="259">
        <f t="shared" ref="M30:R30" si="13">+SUM(M19:M29)</f>
        <v>34146</v>
      </c>
      <c r="N30" s="259">
        <f t="shared" si="13"/>
        <v>26867</v>
      </c>
      <c r="O30" s="259">
        <f t="shared" si="13"/>
        <v>26036</v>
      </c>
      <c r="P30" s="259">
        <f t="shared" si="13"/>
        <v>138296</v>
      </c>
      <c r="Q30" s="259">
        <f t="shared" si="13"/>
        <v>117840</v>
      </c>
      <c r="R30" s="259">
        <f t="shared" si="13"/>
        <v>93934</v>
      </c>
      <c r="S30" s="259">
        <f>+ROUND(P30/I30*1000,0)</f>
        <v>593</v>
      </c>
      <c r="T30" s="259">
        <f>+ROUND(Q30/J30*1000,0)</f>
        <v>624</v>
      </c>
      <c r="U30" s="259">
        <f>+ROUND(R30/J30*1000,0)</f>
        <v>498</v>
      </c>
      <c r="V30" s="261">
        <f t="shared" ref="V30" si="14">+ROUND(N30/M30*100,1)</f>
        <v>78.7</v>
      </c>
      <c r="W30" s="261">
        <f t="shared" ref="W30" si="15">+ROUND(O30/M30*100,1)</f>
        <v>76.2</v>
      </c>
      <c r="X30" s="261">
        <f t="shared" ref="X30" si="16">+ROUND(R30/Q30*100,1)</f>
        <v>79.7</v>
      </c>
      <c r="Y30" s="262" t="s">
        <v>703</v>
      </c>
      <c r="Z30" s="259">
        <f>AVERAGE(Z19:Z29)</f>
        <v>2023.090909090909</v>
      </c>
      <c r="AA30" s="259">
        <f>AVERAGE(AA19:AA29)</f>
        <v>3136.3636363636365</v>
      </c>
      <c r="AB30" s="2016"/>
      <c r="AC30" s="2016"/>
      <c r="AD30" s="2016"/>
      <c r="AE30" s="2016"/>
    </row>
    <row r="31" spans="1:31" ht="14.15" customHeight="1">
      <c r="A31" s="905"/>
      <c r="B31" s="263"/>
      <c r="C31" s="264"/>
      <c r="D31" s="265"/>
      <c r="E31" s="266"/>
      <c r="F31" s="267"/>
      <c r="G31" s="268"/>
      <c r="H31" s="269"/>
      <c r="I31" s="270"/>
      <c r="J31" s="271"/>
      <c r="K31" s="270"/>
      <c r="L31" s="272"/>
      <c r="M31" s="270"/>
      <c r="N31" s="270"/>
      <c r="O31" s="270"/>
      <c r="P31" s="270"/>
      <c r="Q31" s="270"/>
      <c r="R31" s="270"/>
      <c r="S31" s="270"/>
      <c r="T31" s="270"/>
      <c r="U31" s="270"/>
      <c r="V31" s="272"/>
      <c r="W31" s="272"/>
      <c r="X31" s="272"/>
      <c r="Y31" s="270"/>
      <c r="Z31" s="270"/>
      <c r="AA31" s="270"/>
      <c r="AB31" s="2016"/>
      <c r="AC31" s="2016"/>
      <c r="AD31" s="2016"/>
      <c r="AE31" s="2016"/>
    </row>
    <row r="32" spans="1:31" s="238" customFormat="1" ht="13.5" customHeight="1">
      <c r="A32" s="903" t="s">
        <v>512</v>
      </c>
      <c r="B32" s="231">
        <v>35</v>
      </c>
      <c r="C32" s="231" t="s">
        <v>726</v>
      </c>
      <c r="D32" s="232" t="s">
        <v>1171</v>
      </c>
      <c r="E32" s="2040" t="s">
        <v>2298</v>
      </c>
      <c r="F32" s="2030" t="s">
        <v>208</v>
      </c>
      <c r="G32" s="2031" t="s">
        <v>213</v>
      </c>
      <c r="H32" s="233" t="s">
        <v>706</v>
      </c>
      <c r="I32" s="250">
        <v>67100</v>
      </c>
      <c r="J32" s="235">
        <v>62468</v>
      </c>
      <c r="K32" s="250">
        <v>62815</v>
      </c>
      <c r="L32" s="236">
        <v>99.4</v>
      </c>
      <c r="M32" s="231">
        <v>8338</v>
      </c>
      <c r="N32" s="231">
        <v>6828</v>
      </c>
      <c r="O32" s="231">
        <v>6560</v>
      </c>
      <c r="P32" s="231">
        <v>31600</v>
      </c>
      <c r="Q32" s="231">
        <v>25043</v>
      </c>
      <c r="R32" s="231">
        <v>22844</v>
      </c>
      <c r="S32" s="231">
        <v>471</v>
      </c>
      <c r="T32" s="231">
        <v>401</v>
      </c>
      <c r="U32" s="231">
        <v>366</v>
      </c>
      <c r="V32" s="236">
        <f t="shared" ref="V32:V39" si="17">(N32/M32)*100</f>
        <v>81.890141520748386</v>
      </c>
      <c r="W32" s="236">
        <f t="shared" ref="W32:W39" si="18">(O32/M32)*100</f>
        <v>78.67594147277525</v>
      </c>
      <c r="X32" s="236">
        <f t="shared" ref="X32:X39" si="19">(R32/Q32)*100</f>
        <v>91.219103142594733</v>
      </c>
      <c r="Y32" s="237" t="s">
        <v>689</v>
      </c>
      <c r="Z32" s="231">
        <v>1991</v>
      </c>
      <c r="AA32" s="231">
        <v>3531</v>
      </c>
      <c r="AB32" s="2016"/>
      <c r="AC32" s="2016"/>
      <c r="AD32" s="2016"/>
      <c r="AE32" s="2016"/>
    </row>
    <row r="33" spans="1:31" s="238" customFormat="1" ht="14.15" customHeight="1">
      <c r="A33" s="904"/>
      <c r="B33" s="239">
        <v>29</v>
      </c>
      <c r="C33" s="239" t="s">
        <v>727</v>
      </c>
      <c r="D33" s="240" t="s">
        <v>1171</v>
      </c>
      <c r="E33" s="2032" t="s">
        <v>2301</v>
      </c>
      <c r="F33" s="2038" t="s">
        <v>2282</v>
      </c>
      <c r="G33" s="2034" t="s">
        <v>2293</v>
      </c>
      <c r="H33" s="241" t="s">
        <v>715</v>
      </c>
      <c r="I33" s="242">
        <v>34900</v>
      </c>
      <c r="J33" s="243">
        <v>31525</v>
      </c>
      <c r="K33" s="242">
        <v>31573</v>
      </c>
      <c r="L33" s="244">
        <v>99.8</v>
      </c>
      <c r="M33" s="239">
        <v>4176</v>
      </c>
      <c r="N33" s="239">
        <v>3582</v>
      </c>
      <c r="O33" s="239">
        <v>3500</v>
      </c>
      <c r="P33" s="239">
        <v>16000</v>
      </c>
      <c r="Q33" s="239">
        <v>13439</v>
      </c>
      <c r="R33" s="239">
        <v>11441</v>
      </c>
      <c r="S33" s="239">
        <v>458</v>
      </c>
      <c r="T33" s="239">
        <v>426</v>
      </c>
      <c r="U33" s="239">
        <v>363</v>
      </c>
      <c r="V33" s="244">
        <f t="shared" si="17"/>
        <v>85.775862068965509</v>
      </c>
      <c r="W33" s="244">
        <f t="shared" si="18"/>
        <v>83.812260536398469</v>
      </c>
      <c r="X33" s="244">
        <f t="shared" si="19"/>
        <v>85.132822382617761</v>
      </c>
      <c r="Y33" s="245" t="s">
        <v>689</v>
      </c>
      <c r="Z33" s="239">
        <v>1980</v>
      </c>
      <c r="AA33" s="239">
        <v>3300</v>
      </c>
      <c r="AB33" s="2016"/>
      <c r="AC33" s="2016"/>
      <c r="AD33" s="2016"/>
      <c r="AE33" s="2016"/>
    </row>
    <row r="34" spans="1:31" s="238" customFormat="1" ht="14.15" customHeight="1">
      <c r="A34" s="904"/>
      <c r="B34" s="239">
        <v>25</v>
      </c>
      <c r="C34" s="239" t="s">
        <v>728</v>
      </c>
      <c r="D34" s="240" t="s">
        <v>1171</v>
      </c>
      <c r="E34" s="2032" t="s">
        <v>2291</v>
      </c>
      <c r="F34" s="2038" t="s">
        <v>2282</v>
      </c>
      <c r="G34" s="2034" t="s">
        <v>2285</v>
      </c>
      <c r="H34" s="241" t="s">
        <v>729</v>
      </c>
      <c r="I34" s="242">
        <v>19100</v>
      </c>
      <c r="J34" s="243">
        <v>17488</v>
      </c>
      <c r="K34" s="242">
        <v>17651</v>
      </c>
      <c r="L34" s="244">
        <v>99.1</v>
      </c>
      <c r="M34" s="239">
        <v>2139</v>
      </c>
      <c r="N34" s="239">
        <v>1926</v>
      </c>
      <c r="O34" s="239">
        <v>1926</v>
      </c>
      <c r="P34" s="239">
        <v>9500</v>
      </c>
      <c r="Q34" s="239">
        <v>6710</v>
      </c>
      <c r="R34" s="239">
        <v>5860</v>
      </c>
      <c r="S34" s="239">
        <v>497</v>
      </c>
      <c r="T34" s="239">
        <v>384</v>
      </c>
      <c r="U34" s="239">
        <v>335</v>
      </c>
      <c r="V34" s="244">
        <f t="shared" si="17"/>
        <v>90.042075736325387</v>
      </c>
      <c r="W34" s="244">
        <f t="shared" si="18"/>
        <v>90.042075736325387</v>
      </c>
      <c r="X34" s="244">
        <f t="shared" si="19"/>
        <v>87.332339791356191</v>
      </c>
      <c r="Y34" s="245" t="s">
        <v>689</v>
      </c>
      <c r="Z34" s="239">
        <v>1390</v>
      </c>
      <c r="AA34" s="239">
        <v>3172</v>
      </c>
      <c r="AB34" s="2016"/>
      <c r="AC34" s="2016"/>
      <c r="AD34" s="2016"/>
      <c r="AE34" s="2016"/>
    </row>
    <row r="35" spans="1:31" s="238" customFormat="1" ht="14.15" customHeight="1">
      <c r="A35" s="904"/>
      <c r="B35" s="239">
        <v>59</v>
      </c>
      <c r="C35" s="239" t="s">
        <v>730</v>
      </c>
      <c r="D35" s="240" t="s">
        <v>1171</v>
      </c>
      <c r="E35" s="2032" t="s">
        <v>2298</v>
      </c>
      <c r="F35" s="2038" t="s">
        <v>2282</v>
      </c>
      <c r="G35" s="2034" t="s">
        <v>214</v>
      </c>
      <c r="H35" s="241" t="s">
        <v>731</v>
      </c>
      <c r="I35" s="242">
        <v>27300</v>
      </c>
      <c r="J35" s="243">
        <v>23431</v>
      </c>
      <c r="K35" s="242">
        <v>23680</v>
      </c>
      <c r="L35" s="244">
        <v>98.9</v>
      </c>
      <c r="M35" s="239">
        <v>2832</v>
      </c>
      <c r="N35" s="239">
        <v>2671</v>
      </c>
      <c r="O35" s="239">
        <v>2188</v>
      </c>
      <c r="P35" s="239">
        <v>11460</v>
      </c>
      <c r="Q35" s="239">
        <v>8418</v>
      </c>
      <c r="R35" s="239">
        <v>7759</v>
      </c>
      <c r="S35" s="239">
        <v>420</v>
      </c>
      <c r="T35" s="239">
        <v>359</v>
      </c>
      <c r="U35" s="239">
        <v>331</v>
      </c>
      <c r="V35" s="244">
        <f t="shared" si="17"/>
        <v>94.314971751412429</v>
      </c>
      <c r="W35" s="244">
        <f t="shared" si="18"/>
        <v>77.259887005649716</v>
      </c>
      <c r="X35" s="244">
        <f t="shared" si="19"/>
        <v>92.171537182228562</v>
      </c>
      <c r="Y35" s="245" t="s">
        <v>693</v>
      </c>
      <c r="Z35" s="239">
        <v>1683</v>
      </c>
      <c r="AA35" s="239">
        <v>3388</v>
      </c>
      <c r="AB35" s="2016"/>
      <c r="AC35" s="2016"/>
      <c r="AD35" s="2016"/>
      <c r="AE35" s="2016"/>
    </row>
    <row r="36" spans="1:31" s="238" customFormat="1" ht="14.15" customHeight="1">
      <c r="A36" s="904"/>
      <c r="B36" s="239">
        <v>66</v>
      </c>
      <c r="C36" s="239" t="s">
        <v>732</v>
      </c>
      <c r="D36" s="240" t="s">
        <v>1180</v>
      </c>
      <c r="E36" s="2032" t="s">
        <v>2302</v>
      </c>
      <c r="F36" s="2038" t="s">
        <v>210</v>
      </c>
      <c r="G36" s="2034" t="s">
        <v>2291</v>
      </c>
      <c r="H36" s="241" t="s">
        <v>733</v>
      </c>
      <c r="I36" s="242">
        <v>11000</v>
      </c>
      <c r="J36" s="243">
        <v>8808</v>
      </c>
      <c r="K36" s="242">
        <v>8900</v>
      </c>
      <c r="L36" s="244">
        <v>99</v>
      </c>
      <c r="M36" s="239">
        <v>1125</v>
      </c>
      <c r="N36" s="239">
        <v>921</v>
      </c>
      <c r="O36" s="239">
        <v>910</v>
      </c>
      <c r="P36" s="239">
        <v>5700</v>
      </c>
      <c r="Q36" s="239">
        <v>4110</v>
      </c>
      <c r="R36" s="239">
        <v>3082</v>
      </c>
      <c r="S36" s="239">
        <v>518</v>
      </c>
      <c r="T36" s="239">
        <v>467</v>
      </c>
      <c r="U36" s="239">
        <v>350</v>
      </c>
      <c r="V36" s="244">
        <f t="shared" si="17"/>
        <v>81.86666666666666</v>
      </c>
      <c r="W36" s="244">
        <f t="shared" si="18"/>
        <v>80.888888888888886</v>
      </c>
      <c r="X36" s="244">
        <f t="shared" si="19"/>
        <v>74.987834549878343</v>
      </c>
      <c r="Y36" s="246" t="s">
        <v>689</v>
      </c>
      <c r="Z36" s="239">
        <v>2728</v>
      </c>
      <c r="AA36" s="239">
        <v>4246</v>
      </c>
      <c r="AB36" s="2016"/>
      <c r="AC36" s="2016"/>
      <c r="AD36" s="2016"/>
      <c r="AE36" s="2016"/>
    </row>
    <row r="37" spans="1:31" s="238" customFormat="1" ht="14.15" customHeight="1">
      <c r="A37" s="904"/>
      <c r="B37" s="239">
        <v>64</v>
      </c>
      <c r="C37" s="239" t="s">
        <v>734</v>
      </c>
      <c r="D37" s="240" t="s">
        <v>1171</v>
      </c>
      <c r="E37" s="2032" t="s">
        <v>2301</v>
      </c>
      <c r="F37" s="2038" t="s">
        <v>2299</v>
      </c>
      <c r="G37" s="2034" t="s">
        <v>2284</v>
      </c>
      <c r="H37" s="241" t="s">
        <v>695</v>
      </c>
      <c r="I37" s="242">
        <v>13500</v>
      </c>
      <c r="J37" s="243">
        <v>14013</v>
      </c>
      <c r="K37" s="242">
        <v>14025</v>
      </c>
      <c r="L37" s="244">
        <v>99.9</v>
      </c>
      <c r="M37" s="239">
        <v>1748</v>
      </c>
      <c r="N37" s="239">
        <v>1390</v>
      </c>
      <c r="O37" s="239">
        <v>1383</v>
      </c>
      <c r="P37" s="239">
        <v>6300</v>
      </c>
      <c r="Q37" s="239">
        <v>5348</v>
      </c>
      <c r="R37" s="239">
        <v>4789</v>
      </c>
      <c r="S37" s="239">
        <v>467</v>
      </c>
      <c r="T37" s="239">
        <v>382</v>
      </c>
      <c r="U37" s="239">
        <v>342</v>
      </c>
      <c r="V37" s="244">
        <f t="shared" si="17"/>
        <v>79.519450800915337</v>
      </c>
      <c r="W37" s="244">
        <f t="shared" si="18"/>
        <v>79.118993135011436</v>
      </c>
      <c r="X37" s="244">
        <f t="shared" si="19"/>
        <v>89.547494390426323</v>
      </c>
      <c r="Y37" s="246" t="s">
        <v>689</v>
      </c>
      <c r="Z37" s="239">
        <v>1633</v>
      </c>
      <c r="AA37" s="239">
        <v>3184</v>
      </c>
      <c r="AB37" s="2016"/>
      <c r="AC37" s="2016"/>
      <c r="AD37" s="2016"/>
      <c r="AE37" s="2016"/>
    </row>
    <row r="38" spans="1:31" s="238" customFormat="1" ht="14.15" customHeight="1">
      <c r="A38" s="904"/>
      <c r="B38" s="239">
        <v>88</v>
      </c>
      <c r="C38" s="239" t="s">
        <v>735</v>
      </c>
      <c r="D38" s="240" t="s">
        <v>1171</v>
      </c>
      <c r="E38" s="2032" t="s">
        <v>2289</v>
      </c>
      <c r="F38" s="2038" t="s">
        <v>2297</v>
      </c>
      <c r="G38" s="2034" t="s">
        <v>210</v>
      </c>
      <c r="H38" s="241" t="s">
        <v>700</v>
      </c>
      <c r="I38" s="242">
        <v>5040</v>
      </c>
      <c r="J38" s="243">
        <v>4528</v>
      </c>
      <c r="K38" s="242">
        <v>4541</v>
      </c>
      <c r="L38" s="244">
        <v>99.7</v>
      </c>
      <c r="M38" s="239">
        <v>581</v>
      </c>
      <c r="N38" s="239">
        <v>446</v>
      </c>
      <c r="O38" s="239">
        <v>446</v>
      </c>
      <c r="P38" s="239">
        <v>2000</v>
      </c>
      <c r="Q38" s="239">
        <v>1837</v>
      </c>
      <c r="R38" s="239">
        <v>1592</v>
      </c>
      <c r="S38" s="239">
        <v>397</v>
      </c>
      <c r="T38" s="239">
        <v>406</v>
      </c>
      <c r="U38" s="239">
        <v>352</v>
      </c>
      <c r="V38" s="244">
        <f t="shared" si="17"/>
        <v>76.764199655765921</v>
      </c>
      <c r="W38" s="244">
        <f t="shared" si="18"/>
        <v>76.764199655765921</v>
      </c>
      <c r="X38" s="244">
        <f t="shared" si="19"/>
        <v>86.663037561241154</v>
      </c>
      <c r="Y38" s="237" t="s">
        <v>689</v>
      </c>
      <c r="Z38" s="239">
        <v>2387</v>
      </c>
      <c r="AA38" s="239">
        <v>3729</v>
      </c>
      <c r="AB38" s="2016"/>
      <c r="AC38" s="2016"/>
      <c r="AD38" s="2016"/>
      <c r="AE38" s="2016"/>
    </row>
    <row r="39" spans="1:31" s="238" customFormat="1" ht="14.15" customHeight="1" thickBot="1">
      <c r="A39" s="904"/>
      <c r="B39" s="247">
        <v>52</v>
      </c>
      <c r="C39" s="247" t="s">
        <v>736</v>
      </c>
      <c r="D39" s="248" t="s">
        <v>1171</v>
      </c>
      <c r="E39" s="2035" t="s">
        <v>2298</v>
      </c>
      <c r="F39" s="2039" t="s">
        <v>2282</v>
      </c>
      <c r="G39" s="2037" t="s">
        <v>2285</v>
      </c>
      <c r="H39" s="249" t="s">
        <v>715</v>
      </c>
      <c r="I39" s="250">
        <v>9500</v>
      </c>
      <c r="J39" s="235">
        <v>8550</v>
      </c>
      <c r="K39" s="250">
        <v>8570</v>
      </c>
      <c r="L39" s="251">
        <v>99.8</v>
      </c>
      <c r="M39" s="247">
        <v>1138</v>
      </c>
      <c r="N39" s="247">
        <v>855</v>
      </c>
      <c r="O39" s="247">
        <v>855</v>
      </c>
      <c r="P39" s="247">
        <v>4000</v>
      </c>
      <c r="Q39" s="247">
        <v>3495</v>
      </c>
      <c r="R39" s="247">
        <v>3118</v>
      </c>
      <c r="S39" s="247">
        <v>421</v>
      </c>
      <c r="T39" s="247">
        <v>409</v>
      </c>
      <c r="U39" s="247">
        <v>365</v>
      </c>
      <c r="V39" s="251">
        <f t="shared" si="17"/>
        <v>75.131810193321613</v>
      </c>
      <c r="W39" s="251">
        <f t="shared" si="18"/>
        <v>75.131810193321613</v>
      </c>
      <c r="X39" s="251">
        <f t="shared" si="19"/>
        <v>89.213161659513602</v>
      </c>
      <c r="Y39" s="279" t="s">
        <v>689</v>
      </c>
      <c r="Z39" s="247">
        <v>1760</v>
      </c>
      <c r="AA39" s="247">
        <v>3080</v>
      </c>
      <c r="AB39" s="2016"/>
      <c r="AC39" s="2016"/>
      <c r="AD39" s="2016"/>
      <c r="AE39" s="2016"/>
    </row>
    <row r="40" spans="1:31" ht="14.15" customHeight="1" thickTop="1">
      <c r="A40" s="904"/>
      <c r="B40" s="252"/>
      <c r="C40" s="253" t="s">
        <v>34</v>
      </c>
      <c r="D40" s="274"/>
      <c r="E40" s="275"/>
      <c r="F40" s="276"/>
      <c r="G40" s="277"/>
      <c r="H40" s="278"/>
      <c r="I40" s="259">
        <f>+SUM(I32:I39)</f>
        <v>187440</v>
      </c>
      <c r="J40" s="260">
        <f>+SUM(J32:J39)</f>
        <v>170811</v>
      </c>
      <c r="K40" s="259">
        <f>+SUM(K32:K39)</f>
        <v>171755</v>
      </c>
      <c r="L40" s="261">
        <f t="shared" ref="L40" si="20">+ROUND(J40/K40*100,1)</f>
        <v>99.5</v>
      </c>
      <c r="M40" s="259">
        <f t="shared" ref="M40:R40" si="21">+SUM(M32:M39)</f>
        <v>22077</v>
      </c>
      <c r="N40" s="259">
        <f t="shared" si="21"/>
        <v>18619</v>
      </c>
      <c r="O40" s="259">
        <f t="shared" si="21"/>
        <v>17768</v>
      </c>
      <c r="P40" s="259">
        <f t="shared" si="21"/>
        <v>86560</v>
      </c>
      <c r="Q40" s="259">
        <f t="shared" si="21"/>
        <v>68400</v>
      </c>
      <c r="R40" s="259">
        <f t="shared" si="21"/>
        <v>60485</v>
      </c>
      <c r="S40" s="259">
        <f>+ROUND(P40/I40*1000,0)</f>
        <v>462</v>
      </c>
      <c r="T40" s="259">
        <f>+ROUND(Q40/J40*1000,0)</f>
        <v>400</v>
      </c>
      <c r="U40" s="259">
        <f>+ROUND(R40/J40*1000,0)</f>
        <v>354</v>
      </c>
      <c r="V40" s="261">
        <f>+ROUND(N40/M40*100,1)</f>
        <v>84.3</v>
      </c>
      <c r="W40" s="261">
        <f>+ROUND((O40/M40)*100,1)</f>
        <v>80.5</v>
      </c>
      <c r="X40" s="261">
        <f t="shared" ref="X40" si="22">+ROUND(R40/Q40*100,1)</f>
        <v>88.4</v>
      </c>
      <c r="Y40" s="262" t="s">
        <v>703</v>
      </c>
      <c r="Z40" s="259">
        <f>AVERAGE(Z32:Z39)</f>
        <v>1944</v>
      </c>
      <c r="AA40" s="259">
        <f>AVERAGE(AA32:AA39)</f>
        <v>3453.75</v>
      </c>
      <c r="AB40" s="2016"/>
      <c r="AC40" s="2016"/>
      <c r="AD40" s="2016"/>
      <c r="AE40" s="2016"/>
    </row>
    <row r="41" spans="1:31" ht="14.15" customHeight="1">
      <c r="A41" s="905"/>
      <c r="B41" s="263"/>
      <c r="C41" s="264"/>
      <c r="D41" s="265"/>
      <c r="E41" s="266"/>
      <c r="F41" s="267"/>
      <c r="G41" s="268"/>
      <c r="H41" s="269"/>
      <c r="I41" s="270"/>
      <c r="J41" s="271"/>
      <c r="K41" s="270"/>
      <c r="L41" s="272"/>
      <c r="M41" s="270"/>
      <c r="N41" s="270"/>
      <c r="O41" s="270"/>
      <c r="P41" s="270"/>
      <c r="Q41" s="270"/>
      <c r="R41" s="270"/>
      <c r="S41" s="270"/>
      <c r="T41" s="270"/>
      <c r="U41" s="270"/>
      <c r="V41" s="272"/>
      <c r="W41" s="272"/>
      <c r="X41" s="272"/>
      <c r="Y41" s="270"/>
      <c r="Z41" s="270"/>
      <c r="AA41" s="270"/>
      <c r="AB41" s="2016"/>
      <c r="AC41" s="2016"/>
      <c r="AD41" s="2016"/>
      <c r="AE41" s="2016"/>
    </row>
    <row r="42" spans="1:31" s="238" customFormat="1" ht="14.15" customHeight="1">
      <c r="A42" s="903" t="s">
        <v>737</v>
      </c>
      <c r="B42" s="231">
        <v>70</v>
      </c>
      <c r="C42" s="231" t="s">
        <v>738</v>
      </c>
      <c r="D42" s="232" t="s">
        <v>1171</v>
      </c>
      <c r="E42" s="2040" t="s">
        <v>2285</v>
      </c>
      <c r="F42" s="2030" t="s">
        <v>2282</v>
      </c>
      <c r="G42" s="2031" t="s">
        <v>214</v>
      </c>
      <c r="H42" s="233" t="s">
        <v>692</v>
      </c>
      <c r="I42" s="250">
        <v>104400</v>
      </c>
      <c r="J42" s="235">
        <v>93912</v>
      </c>
      <c r="K42" s="250">
        <v>94666</v>
      </c>
      <c r="L42" s="236">
        <v>99.2</v>
      </c>
      <c r="M42" s="231">
        <v>11183</v>
      </c>
      <c r="N42" s="231">
        <v>10171</v>
      </c>
      <c r="O42" s="231">
        <v>9311</v>
      </c>
      <c r="P42" s="231">
        <v>44400</v>
      </c>
      <c r="Q42" s="231">
        <v>34389</v>
      </c>
      <c r="R42" s="231">
        <v>30638</v>
      </c>
      <c r="S42" s="231">
        <v>425</v>
      </c>
      <c r="T42" s="231">
        <v>366</v>
      </c>
      <c r="U42" s="231">
        <v>326</v>
      </c>
      <c r="V42" s="236">
        <f t="shared" ref="V42:V47" si="23">(N42/M42)*100</f>
        <v>90.950549941876062</v>
      </c>
      <c r="W42" s="236">
        <f t="shared" ref="W42:W47" si="24">(O42/M42)*100</f>
        <v>83.260305821335962</v>
      </c>
      <c r="X42" s="236">
        <f t="shared" ref="X42:X47" si="25">(R42/Q42)*100</f>
        <v>89.092442350751696</v>
      </c>
      <c r="Y42" s="280" t="s">
        <v>689</v>
      </c>
      <c r="Z42" s="231">
        <v>1426</v>
      </c>
      <c r="AA42" s="231">
        <v>2976</v>
      </c>
      <c r="AB42" s="2016"/>
      <c r="AC42" s="2016"/>
      <c r="AD42" s="2016"/>
      <c r="AE42" s="2016"/>
    </row>
    <row r="43" spans="1:31" s="238" customFormat="1" ht="14.15" customHeight="1">
      <c r="A43" s="904"/>
      <c r="B43" s="239">
        <v>83</v>
      </c>
      <c r="C43" s="239" t="s">
        <v>739</v>
      </c>
      <c r="D43" s="240" t="s">
        <v>1171</v>
      </c>
      <c r="E43" s="2032" t="s">
        <v>2293</v>
      </c>
      <c r="F43" s="2038" t="s">
        <v>2282</v>
      </c>
      <c r="G43" s="2034" t="s">
        <v>2301</v>
      </c>
      <c r="H43" s="241" t="s">
        <v>715</v>
      </c>
      <c r="I43" s="242">
        <v>13400</v>
      </c>
      <c r="J43" s="243">
        <v>12316</v>
      </c>
      <c r="K43" s="242">
        <v>12403</v>
      </c>
      <c r="L43" s="244">
        <v>99.3</v>
      </c>
      <c r="M43" s="239">
        <v>1303</v>
      </c>
      <c r="N43" s="239">
        <v>1230</v>
      </c>
      <c r="O43" s="239">
        <v>1230</v>
      </c>
      <c r="P43" s="239">
        <v>5000</v>
      </c>
      <c r="Q43" s="239">
        <v>4023</v>
      </c>
      <c r="R43" s="239">
        <v>3570</v>
      </c>
      <c r="S43" s="239">
        <v>373</v>
      </c>
      <c r="T43" s="239">
        <v>327</v>
      </c>
      <c r="U43" s="239">
        <v>290</v>
      </c>
      <c r="V43" s="244">
        <f t="shared" si="23"/>
        <v>94.397544128933234</v>
      </c>
      <c r="W43" s="244">
        <f t="shared" si="24"/>
        <v>94.397544128933234</v>
      </c>
      <c r="X43" s="244">
        <f t="shared" si="25"/>
        <v>88.73974645786727</v>
      </c>
      <c r="Y43" s="246" t="s">
        <v>710</v>
      </c>
      <c r="Z43" s="239">
        <v>1959</v>
      </c>
      <c r="AA43" s="239">
        <v>3785</v>
      </c>
      <c r="AB43" s="2016"/>
      <c r="AC43" s="2016"/>
      <c r="AD43" s="2016"/>
      <c r="AE43" s="2016"/>
    </row>
    <row r="44" spans="1:31" s="238" customFormat="1" ht="14.15" customHeight="1">
      <c r="A44" s="904"/>
      <c r="B44" s="281">
        <v>76</v>
      </c>
      <c r="C44" s="281" t="s">
        <v>740</v>
      </c>
      <c r="D44" s="282" t="s">
        <v>1180</v>
      </c>
      <c r="E44" s="2041" t="s">
        <v>2303</v>
      </c>
      <c r="F44" s="2042" t="s">
        <v>210</v>
      </c>
      <c r="G44" s="2043" t="s">
        <v>2304</v>
      </c>
      <c r="H44" s="283" t="s">
        <v>741</v>
      </c>
      <c r="I44" s="242">
        <v>10300</v>
      </c>
      <c r="J44" s="284">
        <v>10012</v>
      </c>
      <c r="K44" s="242">
        <v>10078</v>
      </c>
      <c r="L44" s="285">
        <v>99.3</v>
      </c>
      <c r="M44" s="281">
        <v>1132</v>
      </c>
      <c r="N44" s="281">
        <v>974</v>
      </c>
      <c r="O44" s="281">
        <v>974</v>
      </c>
      <c r="P44" s="281">
        <v>4500</v>
      </c>
      <c r="Q44" s="281">
        <v>3964</v>
      </c>
      <c r="R44" s="281">
        <v>3101</v>
      </c>
      <c r="S44" s="281">
        <v>437</v>
      </c>
      <c r="T44" s="281">
        <v>396</v>
      </c>
      <c r="U44" s="281">
        <v>310</v>
      </c>
      <c r="V44" s="285">
        <f t="shared" si="23"/>
        <v>86.042402826855124</v>
      </c>
      <c r="W44" s="285">
        <f t="shared" si="24"/>
        <v>86.042402826855124</v>
      </c>
      <c r="X44" s="285">
        <f t="shared" si="25"/>
        <v>78.229061553985872</v>
      </c>
      <c r="Y44" s="246" t="s">
        <v>689</v>
      </c>
      <c r="Z44" s="281">
        <v>1870</v>
      </c>
      <c r="AA44" s="281">
        <v>3861</v>
      </c>
      <c r="AB44" s="2016"/>
      <c r="AC44" s="2016"/>
      <c r="AD44" s="2016"/>
      <c r="AE44" s="2016"/>
    </row>
    <row r="45" spans="1:31" s="238" customFormat="1" ht="14.15" customHeight="1">
      <c r="A45" s="904"/>
      <c r="B45" s="281">
        <v>93</v>
      </c>
      <c r="C45" s="281" t="s">
        <v>742</v>
      </c>
      <c r="D45" s="282" t="s">
        <v>1171</v>
      </c>
      <c r="E45" s="2041" t="s">
        <v>2292</v>
      </c>
      <c r="F45" s="2042" t="s">
        <v>2282</v>
      </c>
      <c r="G45" s="2043" t="s">
        <v>2281</v>
      </c>
      <c r="H45" s="283" t="s">
        <v>700</v>
      </c>
      <c r="I45" s="242">
        <v>6440</v>
      </c>
      <c r="J45" s="286">
        <v>5884</v>
      </c>
      <c r="K45" s="250">
        <v>5995</v>
      </c>
      <c r="L45" s="285">
        <v>98.1</v>
      </c>
      <c r="M45" s="281">
        <v>981</v>
      </c>
      <c r="N45" s="281">
        <v>835</v>
      </c>
      <c r="O45" s="281">
        <v>823</v>
      </c>
      <c r="P45" s="281">
        <v>4740</v>
      </c>
      <c r="Q45" s="281">
        <v>3113</v>
      </c>
      <c r="R45" s="281">
        <v>2688</v>
      </c>
      <c r="S45" s="281">
        <v>736</v>
      </c>
      <c r="T45" s="281">
        <v>529</v>
      </c>
      <c r="U45" s="281">
        <v>457</v>
      </c>
      <c r="V45" s="285">
        <f t="shared" si="23"/>
        <v>85.117227319062181</v>
      </c>
      <c r="W45" s="285">
        <f t="shared" si="24"/>
        <v>83.893985728848122</v>
      </c>
      <c r="X45" s="285">
        <f t="shared" si="25"/>
        <v>86.347574686797302</v>
      </c>
      <c r="Y45" s="246" t="s">
        <v>689</v>
      </c>
      <c r="Z45" s="281">
        <v>1507</v>
      </c>
      <c r="AA45" s="281">
        <v>2937</v>
      </c>
      <c r="AB45" s="2016"/>
      <c r="AC45" s="2016"/>
      <c r="AD45" s="2016"/>
      <c r="AE45" s="2016"/>
    </row>
    <row r="46" spans="1:31" s="238" customFormat="1" ht="14.15" customHeight="1">
      <c r="A46" s="904"/>
      <c r="B46" s="281">
        <v>94</v>
      </c>
      <c r="C46" s="281" t="s">
        <v>743</v>
      </c>
      <c r="D46" s="282" t="s">
        <v>1171</v>
      </c>
      <c r="E46" s="2041" t="s">
        <v>2292</v>
      </c>
      <c r="F46" s="2042" t="s">
        <v>2282</v>
      </c>
      <c r="G46" s="2043" t="s">
        <v>2281</v>
      </c>
      <c r="H46" s="283" t="s">
        <v>700</v>
      </c>
      <c r="I46" s="242">
        <v>6500</v>
      </c>
      <c r="J46" s="242">
        <v>5852</v>
      </c>
      <c r="K46" s="242">
        <v>5900</v>
      </c>
      <c r="L46" s="285">
        <v>99.2</v>
      </c>
      <c r="M46" s="281">
        <v>551</v>
      </c>
      <c r="N46" s="281">
        <v>551</v>
      </c>
      <c r="O46" s="281">
        <v>551</v>
      </c>
      <c r="P46" s="281">
        <v>2490</v>
      </c>
      <c r="Q46" s="281">
        <v>1851</v>
      </c>
      <c r="R46" s="281">
        <v>1510</v>
      </c>
      <c r="S46" s="281">
        <v>383</v>
      </c>
      <c r="T46" s="281">
        <v>316</v>
      </c>
      <c r="U46" s="281">
        <v>258</v>
      </c>
      <c r="V46" s="285">
        <f t="shared" si="23"/>
        <v>100</v>
      </c>
      <c r="W46" s="285">
        <f t="shared" si="24"/>
        <v>100</v>
      </c>
      <c r="X46" s="285">
        <f t="shared" si="25"/>
        <v>81.57752566180443</v>
      </c>
      <c r="Y46" s="246" t="s">
        <v>689</v>
      </c>
      <c r="Z46" s="281">
        <v>1854</v>
      </c>
      <c r="AA46" s="281">
        <v>3537</v>
      </c>
      <c r="AB46" s="2016"/>
      <c r="AC46" s="2016"/>
      <c r="AD46" s="2016"/>
      <c r="AE46" s="2016"/>
    </row>
    <row r="47" spans="1:31" s="238" customFormat="1" ht="14.15" customHeight="1" thickBot="1">
      <c r="A47" s="904"/>
      <c r="B47" s="247">
        <v>91</v>
      </c>
      <c r="C47" s="247" t="s">
        <v>744</v>
      </c>
      <c r="D47" s="248" t="s">
        <v>1171</v>
      </c>
      <c r="E47" s="2035" t="s">
        <v>2292</v>
      </c>
      <c r="F47" s="2039" t="s">
        <v>2282</v>
      </c>
      <c r="G47" s="2037" t="s">
        <v>213</v>
      </c>
      <c r="H47" s="249" t="s">
        <v>706</v>
      </c>
      <c r="I47" s="250">
        <v>6930</v>
      </c>
      <c r="J47" s="235">
        <v>6407</v>
      </c>
      <c r="K47" s="250">
        <v>6443</v>
      </c>
      <c r="L47" s="251">
        <v>99.4</v>
      </c>
      <c r="M47" s="247">
        <v>746</v>
      </c>
      <c r="N47" s="247">
        <v>620</v>
      </c>
      <c r="O47" s="247">
        <v>620</v>
      </c>
      <c r="P47" s="247">
        <v>2910</v>
      </c>
      <c r="Q47" s="247">
        <v>2403</v>
      </c>
      <c r="R47" s="247">
        <v>2044</v>
      </c>
      <c r="S47" s="247">
        <v>420</v>
      </c>
      <c r="T47" s="247">
        <v>375</v>
      </c>
      <c r="U47" s="247">
        <v>319</v>
      </c>
      <c r="V47" s="251">
        <f t="shared" si="23"/>
        <v>83.10991957104558</v>
      </c>
      <c r="W47" s="251">
        <f t="shared" si="24"/>
        <v>83.10991957104558</v>
      </c>
      <c r="X47" s="251">
        <f t="shared" si="25"/>
        <v>85.060341240116514</v>
      </c>
      <c r="Y47" s="237" t="s">
        <v>689</v>
      </c>
      <c r="Z47" s="247">
        <v>1730</v>
      </c>
      <c r="AA47" s="247">
        <v>3230</v>
      </c>
      <c r="AB47" s="2016"/>
      <c r="AC47" s="2016"/>
      <c r="AD47" s="2016"/>
      <c r="AE47" s="2016"/>
    </row>
    <row r="48" spans="1:31" ht="14.15" customHeight="1" thickTop="1">
      <c r="A48" s="904"/>
      <c r="B48" s="252"/>
      <c r="C48" s="253" t="s">
        <v>34</v>
      </c>
      <c r="D48" s="274"/>
      <c r="E48" s="275"/>
      <c r="F48" s="276"/>
      <c r="G48" s="277"/>
      <c r="H48" s="278"/>
      <c r="I48" s="259">
        <f>+SUM(I42:I47)</f>
        <v>147970</v>
      </c>
      <c r="J48" s="260">
        <f>+SUM(J42:J47)</f>
        <v>134383</v>
      </c>
      <c r="K48" s="259">
        <f>+SUM(K42:K47)</f>
        <v>135485</v>
      </c>
      <c r="L48" s="261">
        <f>+ROUND(J48/K48*100,1)</f>
        <v>99.2</v>
      </c>
      <c r="M48" s="259">
        <f t="shared" ref="M48:R48" si="26">+SUM(M42:M47)</f>
        <v>15896</v>
      </c>
      <c r="N48" s="259">
        <f t="shared" si="26"/>
        <v>14381</v>
      </c>
      <c r="O48" s="259">
        <f t="shared" si="26"/>
        <v>13509</v>
      </c>
      <c r="P48" s="259">
        <f t="shared" si="26"/>
        <v>64040</v>
      </c>
      <c r="Q48" s="259">
        <f t="shared" si="26"/>
        <v>49743</v>
      </c>
      <c r="R48" s="259">
        <f t="shared" si="26"/>
        <v>43551</v>
      </c>
      <c r="S48" s="259">
        <f>+ROUND(P48/I48*1000,0)</f>
        <v>433</v>
      </c>
      <c r="T48" s="259">
        <f>+ROUND(Q48/J48*1000,0)</f>
        <v>370</v>
      </c>
      <c r="U48" s="259">
        <f>+ROUND(R48/J48*1000,0)</f>
        <v>324</v>
      </c>
      <c r="V48" s="261">
        <f>+ROUND(N48/M48*100,1)</f>
        <v>90.5</v>
      </c>
      <c r="W48" s="261">
        <f>+ROUND(O48/M48*100,1)</f>
        <v>85</v>
      </c>
      <c r="X48" s="261">
        <f>+ROUND(R48/Q48*100,1)</f>
        <v>87.6</v>
      </c>
      <c r="Y48" s="262" t="s">
        <v>703</v>
      </c>
      <c r="Z48" s="259">
        <f>AVERAGE(Z42:Z47)</f>
        <v>1724.3333333333333</v>
      </c>
      <c r="AA48" s="259">
        <f>AVERAGE(AA42:AA47)</f>
        <v>3387.6666666666665</v>
      </c>
      <c r="AB48" s="2016"/>
      <c r="AC48" s="2016"/>
      <c r="AD48" s="2016"/>
      <c r="AE48" s="2016"/>
    </row>
    <row r="49" spans="1:31" ht="14.15" customHeight="1">
      <c r="A49" s="905"/>
      <c r="B49" s="263"/>
      <c r="C49" s="264"/>
      <c r="D49" s="265"/>
      <c r="E49" s="266"/>
      <c r="F49" s="267"/>
      <c r="G49" s="268"/>
      <c r="H49" s="269"/>
      <c r="I49" s="270"/>
      <c r="J49" s="271"/>
      <c r="K49" s="270"/>
      <c r="L49" s="272"/>
      <c r="M49" s="270"/>
      <c r="N49" s="270"/>
      <c r="O49" s="270"/>
      <c r="P49" s="270"/>
      <c r="Q49" s="270"/>
      <c r="R49" s="270"/>
      <c r="S49" s="270"/>
      <c r="T49" s="270"/>
      <c r="U49" s="270"/>
      <c r="V49" s="272"/>
      <c r="W49" s="272"/>
      <c r="X49" s="272"/>
      <c r="Y49" s="270"/>
      <c r="Z49" s="270"/>
      <c r="AA49" s="270"/>
      <c r="AB49" s="2016"/>
      <c r="AC49" s="2016"/>
      <c r="AD49" s="2016"/>
      <c r="AE49" s="2016"/>
    </row>
    <row r="50" spans="1:31" s="238" customFormat="1" ht="14.15" customHeight="1" thickBot="1">
      <c r="A50" s="903" t="s">
        <v>745</v>
      </c>
      <c r="B50" s="287">
        <v>20</v>
      </c>
      <c r="C50" s="287" t="s">
        <v>746</v>
      </c>
      <c r="D50" s="288" t="s">
        <v>1171</v>
      </c>
      <c r="E50" s="2044" t="s">
        <v>2281</v>
      </c>
      <c r="F50" s="2045" t="s">
        <v>2282</v>
      </c>
      <c r="G50" s="2046" t="s">
        <v>2283</v>
      </c>
      <c r="H50" s="289" t="s">
        <v>702</v>
      </c>
      <c r="I50" s="250">
        <v>5100</v>
      </c>
      <c r="J50" s="235">
        <v>4699</v>
      </c>
      <c r="K50" s="250">
        <v>4699</v>
      </c>
      <c r="L50" s="290">
        <v>100</v>
      </c>
      <c r="M50" s="287">
        <v>828</v>
      </c>
      <c r="N50" s="287">
        <v>635</v>
      </c>
      <c r="O50" s="287">
        <v>625</v>
      </c>
      <c r="P50" s="287">
        <v>3650</v>
      </c>
      <c r="Q50" s="287">
        <v>2991</v>
      </c>
      <c r="R50" s="287">
        <v>2268</v>
      </c>
      <c r="S50" s="287">
        <v>716</v>
      </c>
      <c r="T50" s="287">
        <v>637</v>
      </c>
      <c r="U50" s="287">
        <v>483</v>
      </c>
      <c r="V50" s="291">
        <f t="shared" ref="V50" si="27">(N50/M50)*100</f>
        <v>76.690821256038646</v>
      </c>
      <c r="W50" s="291">
        <f t="shared" ref="W50" si="28">(O50/M50)*100</f>
        <v>75.483091787439619</v>
      </c>
      <c r="X50" s="291">
        <f t="shared" ref="X50" si="29">(R50/Q50)*100</f>
        <v>75.827482447342021</v>
      </c>
      <c r="Y50" s="237" t="s">
        <v>698</v>
      </c>
      <c r="Z50" s="287">
        <v>1980</v>
      </c>
      <c r="AA50" s="292">
        <v>3960</v>
      </c>
      <c r="AB50" s="2016"/>
      <c r="AC50" s="2016"/>
      <c r="AD50" s="2016"/>
      <c r="AE50" s="2016"/>
    </row>
    <row r="51" spans="1:31" ht="14.15" customHeight="1" thickTop="1">
      <c r="A51" s="904"/>
      <c r="B51" s="252"/>
      <c r="C51" s="253" t="s">
        <v>34</v>
      </c>
      <c r="D51" s="274"/>
      <c r="E51" s="275"/>
      <c r="F51" s="276"/>
      <c r="G51" s="277"/>
      <c r="H51" s="278"/>
      <c r="I51" s="259">
        <f>+I50</f>
        <v>5100</v>
      </c>
      <c r="J51" s="260">
        <f>+J50</f>
        <v>4699</v>
      </c>
      <c r="K51" s="259">
        <f>+K50</f>
        <v>4699</v>
      </c>
      <c r="L51" s="261">
        <f>+ROUND(J51/K51*100,1)</f>
        <v>100</v>
      </c>
      <c r="M51" s="259">
        <f t="shared" ref="M51:R51" si="30">+M50</f>
        <v>828</v>
      </c>
      <c r="N51" s="259">
        <f t="shared" si="30"/>
        <v>635</v>
      </c>
      <c r="O51" s="259">
        <f t="shared" si="30"/>
        <v>625</v>
      </c>
      <c r="P51" s="259">
        <f t="shared" si="30"/>
        <v>3650</v>
      </c>
      <c r="Q51" s="259">
        <f t="shared" si="30"/>
        <v>2991</v>
      </c>
      <c r="R51" s="259">
        <f t="shared" si="30"/>
        <v>2268</v>
      </c>
      <c r="S51" s="259">
        <f>+ROUND(P51/I51*1000,0)</f>
        <v>716</v>
      </c>
      <c r="T51" s="259">
        <f>+ROUND(Q51/J51*1000,0)</f>
        <v>637</v>
      </c>
      <c r="U51" s="259">
        <f>+ROUND(R51/J51*1000,0)</f>
        <v>483</v>
      </c>
      <c r="V51" s="261">
        <f>+ROUND(N51/M51*100,1)</f>
        <v>76.7</v>
      </c>
      <c r="W51" s="261">
        <f>+ROUND(O51/M51*100,1)</f>
        <v>75.5</v>
      </c>
      <c r="X51" s="261">
        <f>+ROUND(R51/Q51*100,1)</f>
        <v>75.8</v>
      </c>
      <c r="Y51" s="262" t="s">
        <v>703</v>
      </c>
      <c r="Z51" s="259">
        <f>+Z50</f>
        <v>1980</v>
      </c>
      <c r="AA51" s="259">
        <f>+AA50</f>
        <v>3960</v>
      </c>
      <c r="AB51" s="2016"/>
      <c r="AC51" s="2016"/>
      <c r="AD51" s="2016"/>
      <c r="AE51" s="2016"/>
    </row>
    <row r="52" spans="1:31" ht="14.15" customHeight="1">
      <c r="A52" s="905"/>
      <c r="B52" s="263"/>
      <c r="C52" s="264"/>
      <c r="D52" s="265"/>
      <c r="E52" s="266"/>
      <c r="F52" s="267"/>
      <c r="G52" s="268"/>
      <c r="H52" s="269"/>
      <c r="I52" s="270"/>
      <c r="J52" s="271"/>
      <c r="K52" s="270"/>
      <c r="L52" s="272"/>
      <c r="M52" s="270"/>
      <c r="N52" s="270"/>
      <c r="O52" s="270"/>
      <c r="P52" s="270"/>
      <c r="Q52" s="270"/>
      <c r="R52" s="270"/>
      <c r="S52" s="270"/>
      <c r="T52" s="270"/>
      <c r="U52" s="270"/>
      <c r="V52" s="272"/>
      <c r="W52" s="272"/>
      <c r="X52" s="272"/>
      <c r="Y52" s="270"/>
      <c r="Z52" s="270"/>
      <c r="AA52" s="270"/>
      <c r="AB52" s="2016"/>
      <c r="AC52" s="2016"/>
      <c r="AD52" s="2016"/>
      <c r="AE52" s="2016"/>
    </row>
    <row r="53" spans="1:31" s="238" customFormat="1" ht="14.15" customHeight="1">
      <c r="A53" s="903" t="s">
        <v>516</v>
      </c>
      <c r="B53" s="231">
        <v>4</v>
      </c>
      <c r="C53" s="231" t="s">
        <v>747</v>
      </c>
      <c r="D53" s="232" t="s">
        <v>1171</v>
      </c>
      <c r="E53" s="2040" t="s">
        <v>2283</v>
      </c>
      <c r="F53" s="2030" t="s">
        <v>2282</v>
      </c>
      <c r="G53" s="2031" t="s">
        <v>2283</v>
      </c>
      <c r="H53" s="233" t="s">
        <v>700</v>
      </c>
      <c r="I53" s="250">
        <v>203500</v>
      </c>
      <c r="J53" s="235">
        <v>203670</v>
      </c>
      <c r="K53" s="250">
        <v>204247</v>
      </c>
      <c r="L53" s="236">
        <v>99.7</v>
      </c>
      <c r="M53" s="231">
        <v>26015</v>
      </c>
      <c r="N53" s="231">
        <v>22868</v>
      </c>
      <c r="O53" s="231">
        <v>22294</v>
      </c>
      <c r="P53" s="231">
        <v>82000</v>
      </c>
      <c r="Q53" s="231">
        <v>78249</v>
      </c>
      <c r="R53" s="231">
        <v>71274</v>
      </c>
      <c r="S53" s="231">
        <v>403</v>
      </c>
      <c r="T53" s="231">
        <v>384</v>
      </c>
      <c r="U53" s="231">
        <v>350</v>
      </c>
      <c r="V53" s="236">
        <f t="shared" ref="V53:V59" si="31">(N53/M53)*100</f>
        <v>87.903132807995391</v>
      </c>
      <c r="W53" s="236">
        <f t="shared" ref="W53:W59" si="32">(O53/M53)*100</f>
        <v>85.696713434556983</v>
      </c>
      <c r="X53" s="236">
        <f t="shared" ref="X53:X59" si="33">(R53/Q53)*100</f>
        <v>91.08614806578997</v>
      </c>
      <c r="Y53" s="237" t="s">
        <v>689</v>
      </c>
      <c r="Z53" s="231">
        <v>1570</v>
      </c>
      <c r="AA53" s="231">
        <v>2720</v>
      </c>
      <c r="AB53" s="2016"/>
      <c r="AC53" s="2016"/>
      <c r="AD53" s="2016"/>
      <c r="AE53" s="2016"/>
    </row>
    <row r="54" spans="1:31" s="238" customFormat="1" ht="14.15" customHeight="1">
      <c r="A54" s="904"/>
      <c r="B54" s="239">
        <v>19</v>
      </c>
      <c r="C54" s="239" t="s">
        <v>748</v>
      </c>
      <c r="D54" s="240" t="s">
        <v>1171</v>
      </c>
      <c r="E54" s="2032" t="s">
        <v>2290</v>
      </c>
      <c r="F54" s="2038" t="s">
        <v>2282</v>
      </c>
      <c r="G54" s="2034" t="s">
        <v>2301</v>
      </c>
      <c r="H54" s="241" t="s">
        <v>749</v>
      </c>
      <c r="I54" s="242">
        <v>16600</v>
      </c>
      <c r="J54" s="243">
        <v>15462</v>
      </c>
      <c r="K54" s="242">
        <v>15510</v>
      </c>
      <c r="L54" s="244">
        <v>99.7</v>
      </c>
      <c r="M54" s="239">
        <v>1580</v>
      </c>
      <c r="N54" s="239">
        <v>1554</v>
      </c>
      <c r="O54" s="239">
        <v>1488</v>
      </c>
      <c r="P54" s="239">
        <v>8200</v>
      </c>
      <c r="Q54" s="239">
        <v>5225</v>
      </c>
      <c r="R54" s="239">
        <v>4329</v>
      </c>
      <c r="S54" s="239">
        <v>494</v>
      </c>
      <c r="T54" s="239">
        <v>338</v>
      </c>
      <c r="U54" s="239">
        <v>280</v>
      </c>
      <c r="V54" s="244">
        <f t="shared" si="31"/>
        <v>98.354430379746844</v>
      </c>
      <c r="W54" s="244">
        <f t="shared" si="32"/>
        <v>94.177215189873422</v>
      </c>
      <c r="X54" s="244">
        <f t="shared" si="33"/>
        <v>82.851674641148321</v>
      </c>
      <c r="Y54" s="245" t="s">
        <v>689</v>
      </c>
      <c r="Z54" s="239">
        <v>1570</v>
      </c>
      <c r="AA54" s="239">
        <v>2720</v>
      </c>
      <c r="AB54" s="2016"/>
      <c r="AC54" s="2016"/>
      <c r="AD54" s="2016"/>
      <c r="AE54" s="2016"/>
    </row>
    <row r="55" spans="1:31" s="238" customFormat="1" ht="14.15" customHeight="1">
      <c r="A55" s="904"/>
      <c r="B55" s="239">
        <v>41</v>
      </c>
      <c r="C55" s="239" t="s">
        <v>750</v>
      </c>
      <c r="D55" s="240" t="s">
        <v>1171</v>
      </c>
      <c r="E55" s="2032" t="s">
        <v>2283</v>
      </c>
      <c r="F55" s="2038" t="s">
        <v>2282</v>
      </c>
      <c r="G55" s="2034" t="s">
        <v>2281</v>
      </c>
      <c r="H55" s="241" t="s">
        <v>706</v>
      </c>
      <c r="I55" s="242">
        <v>16610</v>
      </c>
      <c r="J55" s="243">
        <v>14538</v>
      </c>
      <c r="K55" s="242">
        <v>14538</v>
      </c>
      <c r="L55" s="244">
        <v>100</v>
      </c>
      <c r="M55" s="239">
        <v>1741</v>
      </c>
      <c r="N55" s="239">
        <v>1474</v>
      </c>
      <c r="O55" s="239">
        <v>1389</v>
      </c>
      <c r="P55" s="239">
        <v>6810</v>
      </c>
      <c r="Q55" s="239">
        <v>5816</v>
      </c>
      <c r="R55" s="239">
        <v>4770</v>
      </c>
      <c r="S55" s="239">
        <v>410</v>
      </c>
      <c r="T55" s="239">
        <v>400</v>
      </c>
      <c r="U55" s="239">
        <v>328</v>
      </c>
      <c r="V55" s="244">
        <f t="shared" si="31"/>
        <v>84.663986214819062</v>
      </c>
      <c r="W55" s="244">
        <f t="shared" si="32"/>
        <v>79.781734635267085</v>
      </c>
      <c r="X55" s="244">
        <f t="shared" si="33"/>
        <v>82.015130674002762</v>
      </c>
      <c r="Y55" s="246" t="s">
        <v>689</v>
      </c>
      <c r="Z55" s="239">
        <v>1570</v>
      </c>
      <c r="AA55" s="239">
        <v>2720</v>
      </c>
      <c r="AB55" s="2016"/>
      <c r="AC55" s="2016"/>
      <c r="AD55" s="2016"/>
      <c r="AE55" s="2016"/>
    </row>
    <row r="56" spans="1:31" s="238" customFormat="1" ht="14.15" customHeight="1">
      <c r="A56" s="904"/>
      <c r="B56" s="239">
        <v>47</v>
      </c>
      <c r="C56" s="239" t="s">
        <v>751</v>
      </c>
      <c r="D56" s="240" t="s">
        <v>1171</v>
      </c>
      <c r="E56" s="2032" t="s">
        <v>2283</v>
      </c>
      <c r="F56" s="2038" t="s">
        <v>2282</v>
      </c>
      <c r="G56" s="2034" t="s">
        <v>2281</v>
      </c>
      <c r="H56" s="241" t="s">
        <v>706</v>
      </c>
      <c r="I56" s="242">
        <v>5040</v>
      </c>
      <c r="J56" s="243">
        <v>4219</v>
      </c>
      <c r="K56" s="242">
        <v>4267</v>
      </c>
      <c r="L56" s="244">
        <v>98.9</v>
      </c>
      <c r="M56" s="239">
        <v>538</v>
      </c>
      <c r="N56" s="239">
        <v>425</v>
      </c>
      <c r="O56" s="239">
        <v>386</v>
      </c>
      <c r="P56" s="239">
        <v>1960</v>
      </c>
      <c r="Q56" s="239">
        <v>1758</v>
      </c>
      <c r="R56" s="239">
        <v>1474</v>
      </c>
      <c r="S56" s="239">
        <v>389</v>
      </c>
      <c r="T56" s="239">
        <v>417</v>
      </c>
      <c r="U56" s="239">
        <v>349</v>
      </c>
      <c r="V56" s="244">
        <f t="shared" si="31"/>
        <v>78.99628252788105</v>
      </c>
      <c r="W56" s="244">
        <f t="shared" si="32"/>
        <v>71.74721189591078</v>
      </c>
      <c r="X56" s="244">
        <f t="shared" si="33"/>
        <v>83.845278725824798</v>
      </c>
      <c r="Y56" s="237" t="s">
        <v>689</v>
      </c>
      <c r="Z56" s="239">
        <v>1570</v>
      </c>
      <c r="AA56" s="239">
        <v>2720</v>
      </c>
      <c r="AB56" s="2016"/>
      <c r="AC56" s="2016"/>
      <c r="AD56" s="2016"/>
      <c r="AE56" s="2016"/>
    </row>
    <row r="57" spans="1:31" s="238" customFormat="1" ht="14.15" customHeight="1">
      <c r="A57" s="904"/>
      <c r="B57" s="239">
        <v>46</v>
      </c>
      <c r="C57" s="239" t="s">
        <v>752</v>
      </c>
      <c r="D57" s="240" t="s">
        <v>1171</v>
      </c>
      <c r="E57" s="2032" t="s">
        <v>2292</v>
      </c>
      <c r="F57" s="2038" t="s">
        <v>2282</v>
      </c>
      <c r="G57" s="2034" t="s">
        <v>214</v>
      </c>
      <c r="H57" s="241" t="s">
        <v>700</v>
      </c>
      <c r="I57" s="242">
        <v>66840</v>
      </c>
      <c r="J57" s="243">
        <v>65923</v>
      </c>
      <c r="K57" s="242">
        <v>65960</v>
      </c>
      <c r="L57" s="244">
        <v>99.9</v>
      </c>
      <c r="M57" s="239">
        <v>8580</v>
      </c>
      <c r="N57" s="239">
        <v>8022</v>
      </c>
      <c r="O57" s="239">
        <v>7391</v>
      </c>
      <c r="P57" s="239">
        <v>29630</v>
      </c>
      <c r="Q57" s="239">
        <v>25224</v>
      </c>
      <c r="R57" s="239">
        <v>23507</v>
      </c>
      <c r="S57" s="239">
        <v>443</v>
      </c>
      <c r="T57" s="239">
        <v>383</v>
      </c>
      <c r="U57" s="239">
        <v>357</v>
      </c>
      <c r="V57" s="244">
        <f t="shared" si="31"/>
        <v>93.496503496503493</v>
      </c>
      <c r="W57" s="244">
        <f t="shared" si="32"/>
        <v>86.142191142191137</v>
      </c>
      <c r="X57" s="244">
        <f t="shared" si="33"/>
        <v>93.192990802410407</v>
      </c>
      <c r="Y57" s="246" t="s">
        <v>689</v>
      </c>
      <c r="Z57" s="239">
        <v>1860</v>
      </c>
      <c r="AA57" s="239">
        <v>3120</v>
      </c>
      <c r="AB57" s="2016"/>
      <c r="AC57" s="2016"/>
      <c r="AD57" s="2016"/>
      <c r="AE57" s="2016"/>
    </row>
    <row r="58" spans="1:31" s="238" customFormat="1" ht="14.15" customHeight="1">
      <c r="A58" s="904"/>
      <c r="B58" s="281">
        <v>89</v>
      </c>
      <c r="C58" s="293" t="s">
        <v>753</v>
      </c>
      <c r="D58" s="294" t="s">
        <v>1171</v>
      </c>
      <c r="E58" s="2047" t="s">
        <v>2292</v>
      </c>
      <c r="F58" s="2048" t="s">
        <v>2282</v>
      </c>
      <c r="G58" s="2049" t="s">
        <v>2281</v>
      </c>
      <c r="H58" s="295" t="s">
        <v>709</v>
      </c>
      <c r="I58" s="296">
        <v>96600</v>
      </c>
      <c r="J58" s="297">
        <v>92501</v>
      </c>
      <c r="K58" s="296">
        <v>93214</v>
      </c>
      <c r="L58" s="298">
        <v>99.2</v>
      </c>
      <c r="M58" s="293">
        <v>12166</v>
      </c>
      <c r="N58" s="293">
        <v>9808</v>
      </c>
      <c r="O58" s="293">
        <v>9740</v>
      </c>
      <c r="P58" s="293">
        <v>43500</v>
      </c>
      <c r="Q58" s="293">
        <v>36747</v>
      </c>
      <c r="R58" s="293">
        <v>33981</v>
      </c>
      <c r="S58" s="293">
        <v>442</v>
      </c>
      <c r="T58" s="293">
        <v>389</v>
      </c>
      <c r="U58" s="293">
        <v>360</v>
      </c>
      <c r="V58" s="298">
        <f t="shared" si="31"/>
        <v>80.618116061154026</v>
      </c>
      <c r="W58" s="298">
        <f t="shared" si="32"/>
        <v>80.059181325004118</v>
      </c>
      <c r="X58" s="298">
        <f t="shared" si="33"/>
        <v>92.472854926932811</v>
      </c>
      <c r="Y58" s="246" t="s">
        <v>693</v>
      </c>
      <c r="Z58" s="293">
        <v>1568</v>
      </c>
      <c r="AA58" s="293">
        <v>3348</v>
      </c>
      <c r="AB58" s="2016"/>
      <c r="AC58" s="2016"/>
      <c r="AD58" s="2016"/>
      <c r="AE58" s="2016"/>
    </row>
    <row r="59" spans="1:31" s="238" customFormat="1" ht="14.15" customHeight="1" thickBot="1">
      <c r="A59" s="904"/>
      <c r="B59" s="247">
        <v>32</v>
      </c>
      <c r="C59" s="299" t="s">
        <v>754</v>
      </c>
      <c r="D59" s="248" t="s">
        <v>1171</v>
      </c>
      <c r="E59" s="2035" t="s">
        <v>2305</v>
      </c>
      <c r="F59" s="2039" t="s">
        <v>2299</v>
      </c>
      <c r="G59" s="2034" t="s">
        <v>2289</v>
      </c>
      <c r="H59" s="241" t="s">
        <v>123</v>
      </c>
      <c r="I59" s="242">
        <v>9400</v>
      </c>
      <c r="J59" s="243">
        <v>8101</v>
      </c>
      <c r="K59" s="242">
        <v>8141</v>
      </c>
      <c r="L59" s="244">
        <v>99.5</v>
      </c>
      <c r="M59" s="239">
        <v>960</v>
      </c>
      <c r="N59" s="239">
        <v>861</v>
      </c>
      <c r="O59" s="239">
        <v>824</v>
      </c>
      <c r="P59" s="239">
        <v>3700</v>
      </c>
      <c r="Q59" s="239">
        <v>2932</v>
      </c>
      <c r="R59" s="239">
        <v>2630</v>
      </c>
      <c r="S59" s="239">
        <v>394</v>
      </c>
      <c r="T59" s="239">
        <v>362</v>
      </c>
      <c r="U59" s="239">
        <v>325</v>
      </c>
      <c r="V59" s="244">
        <f t="shared" si="31"/>
        <v>89.6875</v>
      </c>
      <c r="W59" s="244">
        <f t="shared" si="32"/>
        <v>85.833333333333329</v>
      </c>
      <c r="X59" s="244">
        <f t="shared" si="33"/>
        <v>89.69986357435198</v>
      </c>
      <c r="Y59" s="279" t="s">
        <v>693</v>
      </c>
      <c r="Z59" s="239">
        <v>1727</v>
      </c>
      <c r="AA59" s="239">
        <v>4477</v>
      </c>
      <c r="AB59" s="2016"/>
      <c r="AC59" s="2016"/>
      <c r="AD59" s="2016"/>
      <c r="AE59" s="2016"/>
    </row>
    <row r="60" spans="1:31" ht="14.15" customHeight="1" thickTop="1">
      <c r="A60" s="904"/>
      <c r="B60" s="300"/>
      <c r="C60" s="253" t="s">
        <v>34</v>
      </c>
      <c r="D60" s="274"/>
      <c r="E60" s="275"/>
      <c r="F60" s="276"/>
      <c r="G60" s="277"/>
      <c r="H60" s="258"/>
      <c r="I60" s="259">
        <f>+SUM(I53:I59)</f>
        <v>414590</v>
      </c>
      <c r="J60" s="260">
        <f>+SUM(J53:J59)</f>
        <v>404414</v>
      </c>
      <c r="K60" s="259">
        <f>+SUM(K53:K59)</f>
        <v>405877</v>
      </c>
      <c r="L60" s="261">
        <f t="shared" ref="L60" si="34">+ROUND(J60/K60*100,1)</f>
        <v>99.6</v>
      </c>
      <c r="M60" s="259">
        <f t="shared" ref="M60:R60" si="35">+SUM(M53:M59)</f>
        <v>51580</v>
      </c>
      <c r="N60" s="259">
        <f t="shared" si="35"/>
        <v>45012</v>
      </c>
      <c r="O60" s="259">
        <f t="shared" si="35"/>
        <v>43512</v>
      </c>
      <c r="P60" s="259">
        <f t="shared" si="35"/>
        <v>175800</v>
      </c>
      <c r="Q60" s="259">
        <f t="shared" si="35"/>
        <v>155951</v>
      </c>
      <c r="R60" s="259">
        <f t="shared" si="35"/>
        <v>141965</v>
      </c>
      <c r="S60" s="259">
        <f>+ROUND((P60-765)/I60*1000,0)</f>
        <v>422</v>
      </c>
      <c r="T60" s="259">
        <f>+ROUND((Q60-781)/J60*1000,0)</f>
        <v>384</v>
      </c>
      <c r="U60" s="259">
        <f>+ROUND((R60-648)/J60*1000,0)</f>
        <v>349</v>
      </c>
      <c r="V60" s="261">
        <f>+ROUND((N60+237)/(M60+237)*100,1)</f>
        <v>87.3</v>
      </c>
      <c r="W60" s="261">
        <f>+ROUND((O60+237)/(M60+237)*100,1)</f>
        <v>84.4</v>
      </c>
      <c r="X60" s="261">
        <f>+ROUND(R60/Q60*100,1)</f>
        <v>91</v>
      </c>
      <c r="Y60" s="262" t="s">
        <v>703</v>
      </c>
      <c r="Z60" s="259">
        <f>AVERAGE(Z53:Z59)</f>
        <v>1633.5714285714287</v>
      </c>
      <c r="AA60" s="259">
        <f>AVERAGE(AA53:AA59)</f>
        <v>3117.8571428571427</v>
      </c>
      <c r="AB60" s="2016"/>
      <c r="AC60" s="2016"/>
      <c r="AD60" s="2016"/>
      <c r="AE60" s="2016"/>
    </row>
    <row r="61" spans="1:31" ht="14.15" customHeight="1">
      <c r="A61" s="905"/>
      <c r="B61" s="263"/>
      <c r="C61" s="264"/>
      <c r="D61" s="265"/>
      <c r="E61" s="266"/>
      <c r="F61" s="267"/>
      <c r="G61" s="268"/>
      <c r="H61" s="301"/>
      <c r="I61" s="270"/>
      <c r="J61" s="271"/>
      <c r="K61" s="270"/>
      <c r="L61" s="272"/>
      <c r="M61" s="270"/>
      <c r="N61" s="270"/>
      <c r="O61" s="270"/>
      <c r="P61" s="270"/>
      <c r="Q61" s="270"/>
      <c r="R61" s="270"/>
      <c r="S61" s="270"/>
      <c r="T61" s="270"/>
      <c r="U61" s="270"/>
      <c r="V61" s="272"/>
      <c r="W61" s="272"/>
      <c r="X61" s="272"/>
      <c r="Y61" s="270"/>
      <c r="Z61" s="270"/>
      <c r="AA61" s="270"/>
      <c r="AB61" s="2016"/>
      <c r="AC61" s="2016"/>
      <c r="AD61" s="2016"/>
      <c r="AE61" s="2016"/>
    </row>
    <row r="62" spans="1:31" s="238" customFormat="1" ht="14.15" customHeight="1">
      <c r="A62" s="906" t="s">
        <v>520</v>
      </c>
      <c r="B62" s="231">
        <v>9</v>
      </c>
      <c r="C62" s="231" t="s">
        <v>755</v>
      </c>
      <c r="D62" s="232" t="s">
        <v>756</v>
      </c>
      <c r="E62" s="2050" t="s">
        <v>2306</v>
      </c>
      <c r="F62" s="2030" t="s">
        <v>2307</v>
      </c>
      <c r="G62" s="2031" t="s">
        <v>2290</v>
      </c>
      <c r="H62" s="233" t="s">
        <v>695</v>
      </c>
      <c r="I62" s="250">
        <v>24100</v>
      </c>
      <c r="J62" s="235">
        <v>23712</v>
      </c>
      <c r="K62" s="250">
        <v>23712</v>
      </c>
      <c r="L62" s="236">
        <v>100</v>
      </c>
      <c r="M62" s="231">
        <v>3852</v>
      </c>
      <c r="N62" s="231">
        <v>2711</v>
      </c>
      <c r="O62" s="231">
        <v>2662</v>
      </c>
      <c r="P62" s="231">
        <v>12600</v>
      </c>
      <c r="Q62" s="231">
        <v>11718</v>
      </c>
      <c r="R62" s="231">
        <v>10553</v>
      </c>
      <c r="S62" s="231">
        <v>523</v>
      </c>
      <c r="T62" s="231">
        <v>494</v>
      </c>
      <c r="U62" s="231">
        <v>445</v>
      </c>
      <c r="V62" s="236">
        <f t="shared" ref="V62:V65" si="36">(N62/M62)*100</f>
        <v>70.379023883696775</v>
      </c>
      <c r="W62" s="236">
        <f t="shared" ref="W62:W65" si="37">(O62/M62)*100</f>
        <v>69.106957424714437</v>
      </c>
      <c r="X62" s="236">
        <f t="shared" ref="X62:X65" si="38">(R62/Q62)*100</f>
        <v>90.058030380611015</v>
      </c>
      <c r="Y62" s="237" t="s">
        <v>693</v>
      </c>
      <c r="Z62" s="231">
        <v>1320</v>
      </c>
      <c r="AA62" s="231">
        <v>2860</v>
      </c>
      <c r="AB62" s="2016"/>
      <c r="AC62" s="2016"/>
      <c r="AD62" s="2016"/>
      <c r="AE62" s="2016"/>
    </row>
    <row r="63" spans="1:31" s="238" customFormat="1" ht="14.15" customHeight="1">
      <c r="A63" s="907"/>
      <c r="B63" s="239">
        <v>22</v>
      </c>
      <c r="C63" s="239" t="s">
        <v>757</v>
      </c>
      <c r="D63" s="240" t="s">
        <v>1171</v>
      </c>
      <c r="E63" s="2032" t="s">
        <v>2300</v>
      </c>
      <c r="F63" s="2038" t="s">
        <v>2299</v>
      </c>
      <c r="G63" s="2034" t="s">
        <v>2298</v>
      </c>
      <c r="H63" s="241" t="s">
        <v>697</v>
      </c>
      <c r="I63" s="242">
        <v>12000</v>
      </c>
      <c r="J63" s="243">
        <v>9149</v>
      </c>
      <c r="K63" s="242">
        <v>9197</v>
      </c>
      <c r="L63" s="244">
        <v>99.5</v>
      </c>
      <c r="M63" s="239">
        <v>1037</v>
      </c>
      <c r="N63" s="239">
        <v>903</v>
      </c>
      <c r="O63" s="239">
        <v>903</v>
      </c>
      <c r="P63" s="239">
        <v>6000</v>
      </c>
      <c r="Q63" s="239">
        <v>3100</v>
      </c>
      <c r="R63" s="239">
        <v>2841</v>
      </c>
      <c r="S63" s="239">
        <v>500</v>
      </c>
      <c r="T63" s="239">
        <v>339</v>
      </c>
      <c r="U63" s="239">
        <v>311</v>
      </c>
      <c r="V63" s="244">
        <f t="shared" si="36"/>
        <v>87.078109932497597</v>
      </c>
      <c r="W63" s="244">
        <f t="shared" si="37"/>
        <v>87.078109932497597</v>
      </c>
      <c r="X63" s="244">
        <f t="shared" si="38"/>
        <v>91.645161290322591</v>
      </c>
      <c r="Y63" s="245" t="s">
        <v>698</v>
      </c>
      <c r="Z63" s="239">
        <v>1728</v>
      </c>
      <c r="AA63" s="239">
        <v>4390</v>
      </c>
      <c r="AB63" s="2016"/>
      <c r="AC63" s="2016"/>
      <c r="AD63" s="2016"/>
      <c r="AE63" s="2016"/>
    </row>
    <row r="64" spans="1:31" s="238" customFormat="1" ht="14.15" customHeight="1">
      <c r="A64" s="907"/>
      <c r="B64" s="239">
        <v>74</v>
      </c>
      <c r="C64" s="239" t="s">
        <v>758</v>
      </c>
      <c r="D64" s="240" t="s">
        <v>1171</v>
      </c>
      <c r="E64" s="2032" t="s">
        <v>2292</v>
      </c>
      <c r="F64" s="2038" t="s">
        <v>2282</v>
      </c>
      <c r="G64" s="2034" t="s">
        <v>2281</v>
      </c>
      <c r="H64" s="241" t="s">
        <v>709</v>
      </c>
      <c r="I64" s="242">
        <v>10000</v>
      </c>
      <c r="J64" s="243">
        <v>9593</v>
      </c>
      <c r="K64" s="242">
        <v>9593</v>
      </c>
      <c r="L64" s="244">
        <v>100</v>
      </c>
      <c r="M64" s="239">
        <v>980</v>
      </c>
      <c r="N64" s="239">
        <v>890</v>
      </c>
      <c r="O64" s="239">
        <v>888</v>
      </c>
      <c r="P64" s="239">
        <v>4200</v>
      </c>
      <c r="Q64" s="239">
        <v>3141</v>
      </c>
      <c r="R64" s="239">
        <v>2685</v>
      </c>
      <c r="S64" s="239">
        <v>420</v>
      </c>
      <c r="T64" s="239">
        <v>327</v>
      </c>
      <c r="U64" s="239">
        <v>280</v>
      </c>
      <c r="V64" s="244">
        <f t="shared" si="36"/>
        <v>90.816326530612244</v>
      </c>
      <c r="W64" s="244">
        <f t="shared" si="37"/>
        <v>90.612244897959187</v>
      </c>
      <c r="X64" s="244">
        <f t="shared" si="38"/>
        <v>85.482330468003823</v>
      </c>
      <c r="Y64" s="245" t="s">
        <v>710</v>
      </c>
      <c r="Z64" s="239">
        <v>1650</v>
      </c>
      <c r="AA64" s="239">
        <v>3630</v>
      </c>
      <c r="AB64" s="2016"/>
      <c r="AC64" s="2016"/>
      <c r="AD64" s="2016"/>
      <c r="AE64" s="2016"/>
    </row>
    <row r="65" spans="1:31" s="238" customFormat="1" ht="14.15" customHeight="1" thickBot="1">
      <c r="A65" s="907"/>
      <c r="B65" s="247">
        <v>63</v>
      </c>
      <c r="C65" s="247" t="s">
        <v>759</v>
      </c>
      <c r="D65" s="248" t="s">
        <v>1171</v>
      </c>
      <c r="E65" s="2035" t="s">
        <v>2308</v>
      </c>
      <c r="F65" s="2039" t="s">
        <v>2282</v>
      </c>
      <c r="G65" s="2037" t="s">
        <v>2289</v>
      </c>
      <c r="H65" s="249" t="s">
        <v>111</v>
      </c>
      <c r="I65" s="250">
        <v>9900</v>
      </c>
      <c r="J65" s="235">
        <v>8392</v>
      </c>
      <c r="K65" s="250">
        <v>8433</v>
      </c>
      <c r="L65" s="251">
        <v>99.5</v>
      </c>
      <c r="M65" s="247">
        <v>1173</v>
      </c>
      <c r="N65" s="247">
        <v>1173</v>
      </c>
      <c r="O65" s="247">
        <v>1173</v>
      </c>
      <c r="P65" s="247">
        <v>26900</v>
      </c>
      <c r="Q65" s="247">
        <v>10630</v>
      </c>
      <c r="R65" s="247">
        <v>3214</v>
      </c>
      <c r="S65" s="247">
        <v>2717</v>
      </c>
      <c r="T65" s="247">
        <v>1267</v>
      </c>
      <c r="U65" s="247">
        <v>383</v>
      </c>
      <c r="V65" s="251">
        <f t="shared" si="36"/>
        <v>100</v>
      </c>
      <c r="W65" s="251">
        <f t="shared" si="37"/>
        <v>100</v>
      </c>
      <c r="X65" s="251">
        <f t="shared" si="38"/>
        <v>30.235183443085607</v>
      </c>
      <c r="Y65" s="279" t="s">
        <v>693</v>
      </c>
      <c r="Z65" s="247">
        <v>2200</v>
      </c>
      <c r="AA65" s="247">
        <v>3740</v>
      </c>
      <c r="AB65" s="2016"/>
      <c r="AC65" s="2016"/>
      <c r="AD65" s="2016"/>
      <c r="AE65" s="2016"/>
    </row>
    <row r="66" spans="1:31" ht="14.15" customHeight="1" thickTop="1">
      <c r="A66" s="907"/>
      <c r="B66" s="252"/>
      <c r="C66" s="253" t="s">
        <v>34</v>
      </c>
      <c r="D66" s="274"/>
      <c r="E66" s="275"/>
      <c r="F66" s="276"/>
      <c r="G66" s="277"/>
      <c r="H66" s="278"/>
      <c r="I66" s="259">
        <f>+SUM(I62:I65)</f>
        <v>56000</v>
      </c>
      <c r="J66" s="260">
        <f>+SUM(J62:J65)</f>
        <v>50846</v>
      </c>
      <c r="K66" s="259">
        <f>+SUM(K62:K65)</f>
        <v>50935</v>
      </c>
      <c r="L66" s="261">
        <f>+ROUND(J66/K66*100,1)</f>
        <v>99.8</v>
      </c>
      <c r="M66" s="259">
        <f t="shared" ref="M66:R66" si="39">+SUM(M62:M65)</f>
        <v>7042</v>
      </c>
      <c r="N66" s="259">
        <f t="shared" si="39"/>
        <v>5677</v>
      </c>
      <c r="O66" s="259">
        <f t="shared" si="39"/>
        <v>5626</v>
      </c>
      <c r="P66" s="259">
        <f t="shared" si="39"/>
        <v>49700</v>
      </c>
      <c r="Q66" s="259">
        <f t="shared" si="39"/>
        <v>28589</v>
      </c>
      <c r="R66" s="259">
        <f t="shared" si="39"/>
        <v>19293</v>
      </c>
      <c r="S66" s="259">
        <f>+ROUND(P66/I66*1000,0)</f>
        <v>888</v>
      </c>
      <c r="T66" s="259">
        <f>+ROUND(Q66/J66*1000,0)</f>
        <v>562</v>
      </c>
      <c r="U66" s="259">
        <f>+ROUND(R66/J66*1000,0)</f>
        <v>379</v>
      </c>
      <c r="V66" s="261">
        <f>+ROUND(N66/M66*100,1)</f>
        <v>80.599999999999994</v>
      </c>
      <c r="W66" s="261">
        <f>+ROUND(O66/M66*100,1)</f>
        <v>79.900000000000006</v>
      </c>
      <c r="X66" s="261">
        <f>+ROUND(R66/Q66*100,1)</f>
        <v>67.5</v>
      </c>
      <c r="Y66" s="262" t="s">
        <v>703</v>
      </c>
      <c r="Z66" s="259">
        <f>AVERAGE(Z62:Z65)</f>
        <v>1724.5</v>
      </c>
      <c r="AA66" s="259">
        <f>AVERAGE(AA62:AA65)</f>
        <v>3655</v>
      </c>
      <c r="AB66" s="2016"/>
      <c r="AC66" s="2016"/>
      <c r="AD66" s="2016"/>
      <c r="AE66" s="2016"/>
    </row>
    <row r="67" spans="1:31" ht="14.15" customHeight="1">
      <c r="A67" s="908"/>
      <c r="B67" s="263"/>
      <c r="C67" s="264"/>
      <c r="D67" s="265"/>
      <c r="E67" s="266"/>
      <c r="F67" s="267"/>
      <c r="G67" s="268"/>
      <c r="H67" s="269"/>
      <c r="I67" s="270"/>
      <c r="J67" s="271"/>
      <c r="K67" s="270"/>
      <c r="L67" s="272"/>
      <c r="M67" s="270"/>
      <c r="N67" s="270"/>
      <c r="O67" s="270"/>
      <c r="P67" s="270"/>
      <c r="Q67" s="270"/>
      <c r="R67" s="270"/>
      <c r="S67" s="270"/>
      <c r="T67" s="270"/>
      <c r="U67" s="270"/>
      <c r="V67" s="272"/>
      <c r="W67" s="272"/>
      <c r="X67" s="272"/>
      <c r="Y67" s="270"/>
      <c r="Z67" s="270"/>
      <c r="AA67" s="270"/>
      <c r="AB67" s="2016"/>
      <c r="AC67" s="2016"/>
      <c r="AD67" s="2016"/>
      <c r="AE67" s="2016"/>
    </row>
    <row r="68" spans="1:31" s="238" customFormat="1" ht="14.15" customHeight="1">
      <c r="A68" s="903" t="s">
        <v>255</v>
      </c>
      <c r="B68" s="231">
        <v>57</v>
      </c>
      <c r="C68" s="231" t="s">
        <v>517</v>
      </c>
      <c r="D68" s="232" t="s">
        <v>1171</v>
      </c>
      <c r="E68" s="2040" t="s">
        <v>2290</v>
      </c>
      <c r="F68" s="2030" t="s">
        <v>2296</v>
      </c>
      <c r="G68" s="2031" t="s">
        <v>2286</v>
      </c>
      <c r="H68" s="233" t="s">
        <v>692</v>
      </c>
      <c r="I68" s="250">
        <v>200700</v>
      </c>
      <c r="J68" s="235">
        <v>181223</v>
      </c>
      <c r="K68" s="250">
        <v>188967</v>
      </c>
      <c r="L68" s="236">
        <v>95.9</v>
      </c>
      <c r="M68" s="231">
        <v>22306</v>
      </c>
      <c r="N68" s="231">
        <v>19356</v>
      </c>
      <c r="O68" s="231">
        <v>19332</v>
      </c>
      <c r="P68" s="231">
        <v>85300</v>
      </c>
      <c r="Q68" s="231">
        <v>68219</v>
      </c>
      <c r="R68" s="231">
        <v>61296</v>
      </c>
      <c r="S68" s="231">
        <v>425</v>
      </c>
      <c r="T68" s="231">
        <v>375</v>
      </c>
      <c r="U68" s="231">
        <v>337</v>
      </c>
      <c r="V68" s="236">
        <f t="shared" ref="V68:V76" si="40">(N68/M68)*100</f>
        <v>86.774858782390382</v>
      </c>
      <c r="W68" s="236">
        <f t="shared" ref="W68:W76" si="41">(O68/M68)*100</f>
        <v>86.667264413162385</v>
      </c>
      <c r="X68" s="236">
        <f t="shared" ref="X68:X76" si="42">(R68/Q68)*100</f>
        <v>89.851800817953944</v>
      </c>
      <c r="Y68" s="237" t="s">
        <v>689</v>
      </c>
      <c r="Z68" s="231">
        <v>1413</v>
      </c>
      <c r="AA68" s="231">
        <v>3313</v>
      </c>
      <c r="AB68" s="2016"/>
      <c r="AC68" s="2016"/>
      <c r="AD68" s="2016"/>
      <c r="AE68" s="2016"/>
    </row>
    <row r="69" spans="1:31" s="238" customFormat="1" ht="14.15" customHeight="1">
      <c r="A69" s="904"/>
      <c r="B69" s="239">
        <v>1</v>
      </c>
      <c r="C69" s="239" t="s">
        <v>760</v>
      </c>
      <c r="D69" s="240" t="s">
        <v>1171</v>
      </c>
      <c r="E69" s="2032" t="s">
        <v>2289</v>
      </c>
      <c r="F69" s="2038" t="s">
        <v>2296</v>
      </c>
      <c r="G69" s="2034" t="s">
        <v>2290</v>
      </c>
      <c r="H69" s="241" t="s">
        <v>706</v>
      </c>
      <c r="I69" s="242">
        <v>273000</v>
      </c>
      <c r="J69" s="243">
        <v>263528</v>
      </c>
      <c r="K69" s="242">
        <v>263976</v>
      </c>
      <c r="L69" s="244">
        <v>99.8</v>
      </c>
      <c r="M69" s="239">
        <v>33258</v>
      </c>
      <c r="N69" s="239">
        <v>29800</v>
      </c>
      <c r="O69" s="239">
        <v>28543</v>
      </c>
      <c r="P69" s="239">
        <v>110000</v>
      </c>
      <c r="Q69" s="239">
        <v>99367</v>
      </c>
      <c r="R69" s="239">
        <v>91118</v>
      </c>
      <c r="S69" s="239">
        <v>403</v>
      </c>
      <c r="T69" s="239">
        <v>377</v>
      </c>
      <c r="U69" s="239">
        <v>346</v>
      </c>
      <c r="V69" s="244">
        <f t="shared" si="40"/>
        <v>89.602501653737448</v>
      </c>
      <c r="W69" s="244">
        <f t="shared" si="41"/>
        <v>85.822959889349931</v>
      </c>
      <c r="X69" s="244">
        <f t="shared" si="42"/>
        <v>91.698451196071133</v>
      </c>
      <c r="Y69" s="246" t="s">
        <v>689</v>
      </c>
      <c r="Z69" s="239">
        <v>1881</v>
      </c>
      <c r="AA69" s="239">
        <v>3630</v>
      </c>
      <c r="AB69" s="2016"/>
      <c r="AC69" s="2016"/>
      <c r="AD69" s="2016"/>
      <c r="AE69" s="2016"/>
    </row>
    <row r="70" spans="1:31" s="238" customFormat="1" ht="14.15" customHeight="1">
      <c r="A70" s="904"/>
      <c r="B70" s="239">
        <v>10</v>
      </c>
      <c r="C70" s="239" t="s">
        <v>761</v>
      </c>
      <c r="D70" s="240" t="s">
        <v>1171</v>
      </c>
      <c r="E70" s="2032" t="s">
        <v>2301</v>
      </c>
      <c r="F70" s="2038" t="s">
        <v>210</v>
      </c>
      <c r="G70" s="2034" t="s">
        <v>209</v>
      </c>
      <c r="H70" s="241" t="s">
        <v>715</v>
      </c>
      <c r="I70" s="242">
        <v>51200</v>
      </c>
      <c r="J70" s="243">
        <v>48293</v>
      </c>
      <c r="K70" s="242">
        <v>48302</v>
      </c>
      <c r="L70" s="244">
        <v>100</v>
      </c>
      <c r="M70" s="239">
        <v>5847</v>
      </c>
      <c r="N70" s="239">
        <v>4946</v>
      </c>
      <c r="O70" s="239">
        <v>4921</v>
      </c>
      <c r="P70" s="239">
        <v>21800</v>
      </c>
      <c r="Q70" s="239">
        <v>19764</v>
      </c>
      <c r="R70" s="239">
        <v>16019</v>
      </c>
      <c r="S70" s="239">
        <v>426</v>
      </c>
      <c r="T70" s="239">
        <v>409</v>
      </c>
      <c r="U70" s="239">
        <v>332</v>
      </c>
      <c r="V70" s="244">
        <f t="shared" si="40"/>
        <v>84.590388233282027</v>
      </c>
      <c r="W70" s="244">
        <f t="shared" si="41"/>
        <v>84.16281853942192</v>
      </c>
      <c r="X70" s="244">
        <f t="shared" si="42"/>
        <v>81.05140659785468</v>
      </c>
      <c r="Y70" s="246" t="s">
        <v>689</v>
      </c>
      <c r="Z70" s="239">
        <v>1550</v>
      </c>
      <c r="AA70" s="239">
        <v>3300</v>
      </c>
      <c r="AB70" s="2016"/>
      <c r="AC70" s="2016"/>
      <c r="AD70" s="2016"/>
      <c r="AE70" s="2016"/>
    </row>
    <row r="71" spans="1:31" s="238" customFormat="1" ht="14.15" customHeight="1">
      <c r="A71" s="904"/>
      <c r="B71" s="239">
        <v>26</v>
      </c>
      <c r="C71" s="239" t="s">
        <v>762</v>
      </c>
      <c r="D71" s="240" t="s">
        <v>1171</v>
      </c>
      <c r="E71" s="2032" t="s">
        <v>2292</v>
      </c>
      <c r="F71" s="2038" t="s">
        <v>2282</v>
      </c>
      <c r="G71" s="2034" t="s">
        <v>2281</v>
      </c>
      <c r="H71" s="241" t="s">
        <v>706</v>
      </c>
      <c r="I71" s="242">
        <v>7064</v>
      </c>
      <c r="J71" s="243">
        <v>6625</v>
      </c>
      <c r="K71" s="242">
        <v>6625</v>
      </c>
      <c r="L71" s="244">
        <v>100</v>
      </c>
      <c r="M71" s="239">
        <v>796</v>
      </c>
      <c r="N71" s="239">
        <v>665</v>
      </c>
      <c r="O71" s="239">
        <v>664</v>
      </c>
      <c r="P71" s="239">
        <v>2680</v>
      </c>
      <c r="Q71" s="239">
        <v>2435</v>
      </c>
      <c r="R71" s="239">
        <v>2181</v>
      </c>
      <c r="S71" s="239">
        <v>379</v>
      </c>
      <c r="T71" s="239">
        <v>368</v>
      </c>
      <c r="U71" s="239">
        <v>329</v>
      </c>
      <c r="V71" s="244">
        <f t="shared" si="40"/>
        <v>83.542713567839201</v>
      </c>
      <c r="W71" s="244">
        <f t="shared" si="41"/>
        <v>83.417085427135675</v>
      </c>
      <c r="X71" s="244">
        <f t="shared" si="42"/>
        <v>89.568788501026702</v>
      </c>
      <c r="Y71" s="246" t="s">
        <v>689</v>
      </c>
      <c r="Z71" s="239">
        <v>1413</v>
      </c>
      <c r="AA71" s="239">
        <v>3313</v>
      </c>
      <c r="AB71" s="2016"/>
      <c r="AC71" s="2016"/>
      <c r="AD71" s="2016"/>
      <c r="AE71" s="2016"/>
    </row>
    <row r="72" spans="1:31" s="238" customFormat="1" ht="14.15" customHeight="1">
      <c r="A72" s="904"/>
      <c r="B72" s="239">
        <v>15</v>
      </c>
      <c r="C72" s="239" t="s">
        <v>763</v>
      </c>
      <c r="D72" s="240" t="s">
        <v>1171</v>
      </c>
      <c r="E72" s="2032" t="s">
        <v>2297</v>
      </c>
      <c r="F72" s="2038" t="s">
        <v>2282</v>
      </c>
      <c r="G72" s="2034" t="s">
        <v>2292</v>
      </c>
      <c r="H72" s="241" t="s">
        <v>713</v>
      </c>
      <c r="I72" s="242">
        <v>14700</v>
      </c>
      <c r="J72" s="243">
        <v>10487</v>
      </c>
      <c r="K72" s="242">
        <v>10489</v>
      </c>
      <c r="L72" s="244">
        <v>100</v>
      </c>
      <c r="M72" s="239">
        <v>1364</v>
      </c>
      <c r="N72" s="239">
        <v>1152</v>
      </c>
      <c r="O72" s="239">
        <v>1150</v>
      </c>
      <c r="P72" s="239">
        <v>8400</v>
      </c>
      <c r="Q72" s="239">
        <v>4332</v>
      </c>
      <c r="R72" s="239">
        <v>3737</v>
      </c>
      <c r="S72" s="239">
        <v>571</v>
      </c>
      <c r="T72" s="239">
        <v>413</v>
      </c>
      <c r="U72" s="239">
        <v>356</v>
      </c>
      <c r="V72" s="244">
        <f t="shared" si="40"/>
        <v>84.457478005865099</v>
      </c>
      <c r="W72" s="244">
        <f t="shared" si="41"/>
        <v>84.310850439882699</v>
      </c>
      <c r="X72" s="244">
        <f t="shared" si="42"/>
        <v>86.265004616805172</v>
      </c>
      <c r="Y72" s="237" t="s">
        <v>689</v>
      </c>
      <c r="Z72" s="239">
        <v>1380</v>
      </c>
      <c r="AA72" s="239">
        <v>3110</v>
      </c>
      <c r="AB72" s="2016"/>
      <c r="AC72" s="2016"/>
      <c r="AD72" s="2016"/>
      <c r="AE72" s="2016"/>
    </row>
    <row r="73" spans="1:31" s="238" customFormat="1" ht="14.15" customHeight="1">
      <c r="A73" s="904"/>
      <c r="B73" s="239">
        <v>87</v>
      </c>
      <c r="C73" s="239" t="s">
        <v>764</v>
      </c>
      <c r="D73" s="240" t="s">
        <v>1171</v>
      </c>
      <c r="E73" s="2032" t="s">
        <v>2292</v>
      </c>
      <c r="F73" s="2038" t="s">
        <v>2282</v>
      </c>
      <c r="G73" s="2034" t="s">
        <v>2283</v>
      </c>
      <c r="H73" s="241" t="s">
        <v>709</v>
      </c>
      <c r="I73" s="242">
        <v>7340</v>
      </c>
      <c r="J73" s="243">
        <v>6463</v>
      </c>
      <c r="K73" s="242">
        <v>6463</v>
      </c>
      <c r="L73" s="244">
        <v>100</v>
      </c>
      <c r="M73" s="239">
        <v>707</v>
      </c>
      <c r="N73" s="239">
        <v>707</v>
      </c>
      <c r="O73" s="239">
        <v>707</v>
      </c>
      <c r="P73" s="239">
        <v>3624</v>
      </c>
      <c r="Q73" s="239">
        <v>3925</v>
      </c>
      <c r="R73" s="239">
        <v>1937</v>
      </c>
      <c r="S73" s="239">
        <v>494</v>
      </c>
      <c r="T73" s="239">
        <v>607</v>
      </c>
      <c r="U73" s="239">
        <v>300</v>
      </c>
      <c r="V73" s="244">
        <f t="shared" si="40"/>
        <v>100</v>
      </c>
      <c r="W73" s="244">
        <f t="shared" si="41"/>
        <v>100</v>
      </c>
      <c r="X73" s="244">
        <f t="shared" si="42"/>
        <v>49.35031847133758</v>
      </c>
      <c r="Y73" s="245" t="s">
        <v>689</v>
      </c>
      <c r="Z73" s="239">
        <v>1550</v>
      </c>
      <c r="AA73" s="239">
        <v>2780</v>
      </c>
      <c r="AB73" s="2016"/>
      <c r="AC73" s="2016"/>
      <c r="AD73" s="2016"/>
      <c r="AE73" s="2016"/>
    </row>
    <row r="74" spans="1:31" s="238" customFormat="1" ht="14.15" customHeight="1">
      <c r="A74" s="904"/>
      <c r="B74" s="239">
        <v>81</v>
      </c>
      <c r="C74" s="239" t="s">
        <v>765</v>
      </c>
      <c r="D74" s="240" t="s">
        <v>1171</v>
      </c>
      <c r="E74" s="2032" t="s">
        <v>2292</v>
      </c>
      <c r="F74" s="2038" t="s">
        <v>2282</v>
      </c>
      <c r="G74" s="2034" t="s">
        <v>2283</v>
      </c>
      <c r="H74" s="241" t="s">
        <v>706</v>
      </c>
      <c r="I74" s="242">
        <v>8400</v>
      </c>
      <c r="J74" s="243">
        <v>7309</v>
      </c>
      <c r="K74" s="242">
        <v>7332</v>
      </c>
      <c r="L74" s="244">
        <v>99.7</v>
      </c>
      <c r="M74" s="239">
        <v>1184</v>
      </c>
      <c r="N74" s="239">
        <v>912</v>
      </c>
      <c r="O74" s="239">
        <v>912</v>
      </c>
      <c r="P74" s="239">
        <v>6750</v>
      </c>
      <c r="Q74" s="239">
        <v>5630</v>
      </c>
      <c r="R74" s="239">
        <v>3244</v>
      </c>
      <c r="S74" s="239">
        <v>804</v>
      </c>
      <c r="T74" s="239">
        <v>770</v>
      </c>
      <c r="U74" s="239">
        <v>444</v>
      </c>
      <c r="V74" s="244">
        <f t="shared" si="40"/>
        <v>77.027027027027032</v>
      </c>
      <c r="W74" s="244">
        <f t="shared" si="41"/>
        <v>77.027027027027032</v>
      </c>
      <c r="X74" s="244">
        <f t="shared" si="42"/>
        <v>57.619893428063939</v>
      </c>
      <c r="Y74" s="245" t="s">
        <v>689</v>
      </c>
      <c r="Z74" s="239">
        <v>1430</v>
      </c>
      <c r="AA74" s="239">
        <v>3080</v>
      </c>
      <c r="AB74" s="2016"/>
      <c r="AC74" s="2016"/>
      <c r="AD74" s="2016"/>
      <c r="AE74" s="2016"/>
    </row>
    <row r="75" spans="1:31" s="238" customFormat="1" ht="14.15" customHeight="1">
      <c r="A75" s="904"/>
      <c r="B75" s="239">
        <v>54</v>
      </c>
      <c r="C75" s="239" t="s">
        <v>766</v>
      </c>
      <c r="D75" s="240" t="s">
        <v>1171</v>
      </c>
      <c r="E75" s="2032" t="s">
        <v>2305</v>
      </c>
      <c r="F75" s="2038" t="s">
        <v>2282</v>
      </c>
      <c r="G75" s="2034" t="s">
        <v>208</v>
      </c>
      <c r="H75" s="241" t="s">
        <v>123</v>
      </c>
      <c r="I75" s="242">
        <v>7460</v>
      </c>
      <c r="J75" s="243">
        <v>5989</v>
      </c>
      <c r="K75" s="242">
        <v>6026</v>
      </c>
      <c r="L75" s="244">
        <v>99.4</v>
      </c>
      <c r="M75" s="239">
        <v>953</v>
      </c>
      <c r="N75" s="239">
        <v>549</v>
      </c>
      <c r="O75" s="239">
        <v>545</v>
      </c>
      <c r="P75" s="239">
        <v>3470</v>
      </c>
      <c r="Q75" s="239">
        <v>2985</v>
      </c>
      <c r="R75" s="239">
        <v>2611</v>
      </c>
      <c r="S75" s="239">
        <v>465</v>
      </c>
      <c r="T75" s="239">
        <v>498</v>
      </c>
      <c r="U75" s="239">
        <v>436</v>
      </c>
      <c r="V75" s="244">
        <f t="shared" si="40"/>
        <v>57.607555089192033</v>
      </c>
      <c r="W75" s="244">
        <f t="shared" si="41"/>
        <v>57.187827911857291</v>
      </c>
      <c r="X75" s="244">
        <f t="shared" si="42"/>
        <v>87.470686767169184</v>
      </c>
      <c r="Y75" s="245" t="s">
        <v>689</v>
      </c>
      <c r="Z75" s="239">
        <v>1375</v>
      </c>
      <c r="AA75" s="239">
        <v>3135</v>
      </c>
      <c r="AB75" s="2016"/>
      <c r="AC75" s="2016"/>
      <c r="AD75" s="2016"/>
      <c r="AE75" s="2016"/>
    </row>
    <row r="76" spans="1:31" s="238" customFormat="1" ht="14.15" customHeight="1" thickBot="1">
      <c r="A76" s="904"/>
      <c r="B76" s="247">
        <v>75</v>
      </c>
      <c r="C76" s="247" t="s">
        <v>767</v>
      </c>
      <c r="D76" s="248" t="s">
        <v>1171</v>
      </c>
      <c r="E76" s="2035" t="s">
        <v>208</v>
      </c>
      <c r="F76" s="2039" t="s">
        <v>2307</v>
      </c>
      <c r="G76" s="2037" t="s">
        <v>2283</v>
      </c>
      <c r="H76" s="249" t="s">
        <v>112</v>
      </c>
      <c r="I76" s="302">
        <v>6000</v>
      </c>
      <c r="J76" s="235">
        <v>4062</v>
      </c>
      <c r="K76" s="250">
        <v>4064</v>
      </c>
      <c r="L76" s="251">
        <v>100</v>
      </c>
      <c r="M76" s="247">
        <v>483</v>
      </c>
      <c r="N76" s="247">
        <v>410</v>
      </c>
      <c r="O76" s="247">
        <v>385</v>
      </c>
      <c r="P76" s="247">
        <v>2700</v>
      </c>
      <c r="Q76" s="247">
        <v>1940</v>
      </c>
      <c r="R76" s="247">
        <v>1323</v>
      </c>
      <c r="S76" s="247">
        <v>450</v>
      </c>
      <c r="T76" s="247">
        <v>478</v>
      </c>
      <c r="U76" s="247">
        <v>326</v>
      </c>
      <c r="V76" s="251">
        <f t="shared" si="40"/>
        <v>84.886128364389236</v>
      </c>
      <c r="W76" s="251">
        <f t="shared" si="41"/>
        <v>79.710144927536234</v>
      </c>
      <c r="X76" s="251">
        <f t="shared" si="42"/>
        <v>68.19587628865979</v>
      </c>
      <c r="Y76" s="279" t="s">
        <v>689</v>
      </c>
      <c r="Z76" s="247">
        <v>1375</v>
      </c>
      <c r="AA76" s="247">
        <v>3135</v>
      </c>
      <c r="AB76" s="2016"/>
      <c r="AC76" s="2016"/>
      <c r="AD76" s="2016"/>
      <c r="AE76" s="2016"/>
    </row>
    <row r="77" spans="1:31" ht="14.15" customHeight="1" thickTop="1">
      <c r="A77" s="904"/>
      <c r="B77" s="252"/>
      <c r="C77" s="253" t="s">
        <v>34</v>
      </c>
      <c r="D77" s="274"/>
      <c r="E77" s="275"/>
      <c r="F77" s="276"/>
      <c r="G77" s="277"/>
      <c r="H77" s="278"/>
      <c r="I77" s="303">
        <f>+SUM(I68:I76)</f>
        <v>575864</v>
      </c>
      <c r="J77" s="304">
        <f>+SUM(J68:J76)</f>
        <v>533979</v>
      </c>
      <c r="K77" s="259">
        <f>+SUM(K68:K76)</f>
        <v>542244</v>
      </c>
      <c r="L77" s="261">
        <f t="shared" ref="L77" si="43">+ROUND(J77/K77*100,1)</f>
        <v>98.5</v>
      </c>
      <c r="M77" s="259">
        <f t="shared" ref="M77:R77" si="44">+SUM(M68:M76)</f>
        <v>66898</v>
      </c>
      <c r="N77" s="259">
        <f t="shared" si="44"/>
        <v>58497</v>
      </c>
      <c r="O77" s="259">
        <f t="shared" si="44"/>
        <v>57159</v>
      </c>
      <c r="P77" s="259">
        <f t="shared" si="44"/>
        <v>244724</v>
      </c>
      <c r="Q77" s="259">
        <f t="shared" si="44"/>
        <v>208597</v>
      </c>
      <c r="R77" s="259">
        <f t="shared" si="44"/>
        <v>183466</v>
      </c>
      <c r="S77" s="259">
        <f>+ROUND((P77-0)/I77*1000,0)</f>
        <v>425</v>
      </c>
      <c r="T77" s="259">
        <f>+ROUND((Q77-182)/J77*1000,0)</f>
        <v>390</v>
      </c>
      <c r="U77" s="259">
        <f>+ROUND((R77-182)/J77*1000,0)</f>
        <v>343</v>
      </c>
      <c r="V77" s="261">
        <f>+ROUND((N77+67)/(M77+67)*100,1)</f>
        <v>87.5</v>
      </c>
      <c r="W77" s="261">
        <f>+ROUND((O77+67)/(M77+67)*100,1)</f>
        <v>85.5</v>
      </c>
      <c r="X77" s="261">
        <f t="shared" ref="X77" si="45">+ROUND(R77/Q77*100,1)</f>
        <v>88</v>
      </c>
      <c r="Y77" s="262" t="s">
        <v>703</v>
      </c>
      <c r="Z77" s="259">
        <f>AVERAGE(Z68:Z76)</f>
        <v>1485.2222222222222</v>
      </c>
      <c r="AA77" s="259">
        <f>AVERAGE(AA68:AA76)</f>
        <v>3199.5555555555557</v>
      </c>
      <c r="AB77" s="2016"/>
      <c r="AC77" s="2016"/>
      <c r="AD77" s="2016"/>
      <c r="AE77" s="2016"/>
    </row>
    <row r="78" spans="1:31" ht="14.15" customHeight="1">
      <c r="A78" s="905"/>
      <c r="B78" s="263"/>
      <c r="C78" s="264"/>
      <c r="D78" s="265"/>
      <c r="E78" s="266"/>
      <c r="F78" s="267"/>
      <c r="G78" s="268"/>
      <c r="H78" s="269"/>
      <c r="I78" s="270"/>
      <c r="J78" s="305"/>
      <c r="K78" s="270"/>
      <c r="L78" s="272"/>
      <c r="M78" s="270"/>
      <c r="N78" s="270"/>
      <c r="O78" s="270"/>
      <c r="P78" s="270"/>
      <c r="Q78" s="270"/>
      <c r="R78" s="270"/>
      <c r="S78" s="270"/>
      <c r="T78" s="270"/>
      <c r="U78" s="270"/>
      <c r="V78" s="272"/>
      <c r="W78" s="272"/>
      <c r="X78" s="272"/>
      <c r="Y78" s="270"/>
      <c r="Z78" s="270"/>
      <c r="AA78" s="270"/>
      <c r="AB78" s="2016"/>
      <c r="AC78" s="2016"/>
      <c r="AD78" s="2016"/>
      <c r="AE78" s="2016"/>
    </row>
    <row r="79" spans="1:31" s="238" customFormat="1" ht="14.15" customHeight="1">
      <c r="A79" s="903" t="s">
        <v>768</v>
      </c>
      <c r="B79" s="231">
        <v>2</v>
      </c>
      <c r="C79" s="231" t="s">
        <v>769</v>
      </c>
      <c r="D79" s="232" t="s">
        <v>1171</v>
      </c>
      <c r="E79" s="2040" t="s">
        <v>2292</v>
      </c>
      <c r="F79" s="2030" t="s">
        <v>2282</v>
      </c>
      <c r="G79" s="2031" t="s">
        <v>2281</v>
      </c>
      <c r="H79" s="233" t="s">
        <v>709</v>
      </c>
      <c r="I79" s="234">
        <v>43300</v>
      </c>
      <c r="J79" s="235">
        <v>40684</v>
      </c>
      <c r="K79" s="234">
        <v>41724</v>
      </c>
      <c r="L79" s="236">
        <v>97.5</v>
      </c>
      <c r="M79" s="231">
        <v>6268</v>
      </c>
      <c r="N79" s="231">
        <v>5378</v>
      </c>
      <c r="O79" s="231">
        <v>5167</v>
      </c>
      <c r="P79" s="231">
        <v>18500</v>
      </c>
      <c r="Q79" s="231">
        <v>20357</v>
      </c>
      <c r="R79" s="231">
        <v>17173</v>
      </c>
      <c r="S79" s="231">
        <v>427</v>
      </c>
      <c r="T79" s="231">
        <v>500</v>
      </c>
      <c r="U79" s="231">
        <v>422</v>
      </c>
      <c r="V79" s="236">
        <f t="shared" ref="V79:V83" si="46">(N79/M79)*100</f>
        <v>85.800893426930429</v>
      </c>
      <c r="W79" s="236">
        <f t="shared" ref="W79:W83" si="47">(O79/M79)*100</f>
        <v>82.434588385449899</v>
      </c>
      <c r="X79" s="236">
        <f t="shared" ref="X79:X83" si="48">(R79/Q79)*100</f>
        <v>84.359188485533238</v>
      </c>
      <c r="Y79" s="237" t="s">
        <v>689</v>
      </c>
      <c r="Z79" s="306">
        <v>1452</v>
      </c>
      <c r="AA79" s="306">
        <v>3300</v>
      </c>
      <c r="AB79" s="2016"/>
      <c r="AC79" s="2016"/>
      <c r="AD79" s="2016"/>
      <c r="AE79" s="2016"/>
    </row>
    <row r="80" spans="1:31" s="238" customFormat="1" ht="14.15" customHeight="1">
      <c r="A80" s="904"/>
      <c r="B80" s="239">
        <v>27</v>
      </c>
      <c r="C80" s="239" t="s">
        <v>770</v>
      </c>
      <c r="D80" s="240" t="s">
        <v>1171</v>
      </c>
      <c r="E80" s="2032" t="s">
        <v>2292</v>
      </c>
      <c r="F80" s="2038" t="s">
        <v>2282</v>
      </c>
      <c r="G80" s="2034" t="s">
        <v>2304</v>
      </c>
      <c r="H80" s="241" t="s">
        <v>700</v>
      </c>
      <c r="I80" s="242">
        <v>21000</v>
      </c>
      <c r="J80" s="243">
        <v>18559</v>
      </c>
      <c r="K80" s="242">
        <v>18827</v>
      </c>
      <c r="L80" s="244">
        <v>98.6</v>
      </c>
      <c r="M80" s="239">
        <v>2858</v>
      </c>
      <c r="N80" s="239">
        <v>2028</v>
      </c>
      <c r="O80" s="239">
        <v>2028</v>
      </c>
      <c r="P80" s="239">
        <v>10700</v>
      </c>
      <c r="Q80" s="239">
        <v>9798</v>
      </c>
      <c r="R80" s="239">
        <v>7830</v>
      </c>
      <c r="S80" s="239">
        <v>510</v>
      </c>
      <c r="T80" s="239">
        <v>528</v>
      </c>
      <c r="U80" s="239">
        <v>422</v>
      </c>
      <c r="V80" s="244">
        <f t="shared" si="46"/>
        <v>70.95871238628412</v>
      </c>
      <c r="W80" s="244">
        <f t="shared" si="47"/>
        <v>70.95871238628412</v>
      </c>
      <c r="X80" s="244">
        <f t="shared" si="48"/>
        <v>79.91426821800367</v>
      </c>
      <c r="Y80" s="245" t="s">
        <v>689</v>
      </c>
      <c r="Z80" s="239">
        <v>1990</v>
      </c>
      <c r="AA80" s="239">
        <v>4290</v>
      </c>
      <c r="AB80" s="2016"/>
      <c r="AC80" s="2016"/>
      <c r="AD80" s="2016"/>
      <c r="AE80" s="2016"/>
    </row>
    <row r="81" spans="1:31" s="238" customFormat="1" ht="14.15" customHeight="1">
      <c r="A81" s="904"/>
      <c r="B81" s="239">
        <v>21</v>
      </c>
      <c r="C81" s="239" t="s">
        <v>771</v>
      </c>
      <c r="D81" s="240" t="s">
        <v>1171</v>
      </c>
      <c r="E81" s="2032" t="s">
        <v>2283</v>
      </c>
      <c r="F81" s="2038" t="s">
        <v>2299</v>
      </c>
      <c r="G81" s="2034" t="s">
        <v>2300</v>
      </c>
      <c r="H81" s="241" t="s">
        <v>700</v>
      </c>
      <c r="I81" s="242">
        <v>11970</v>
      </c>
      <c r="J81" s="243">
        <v>9783</v>
      </c>
      <c r="K81" s="242">
        <v>9783</v>
      </c>
      <c r="L81" s="244">
        <v>100</v>
      </c>
      <c r="M81" s="239">
        <v>1551</v>
      </c>
      <c r="N81" s="239">
        <v>1191</v>
      </c>
      <c r="O81" s="239">
        <v>1158</v>
      </c>
      <c r="P81" s="239">
        <v>9360</v>
      </c>
      <c r="Q81" s="239">
        <v>8832</v>
      </c>
      <c r="R81" s="239">
        <v>4249</v>
      </c>
      <c r="S81" s="239">
        <v>782</v>
      </c>
      <c r="T81" s="239">
        <v>903</v>
      </c>
      <c r="U81" s="239">
        <v>434</v>
      </c>
      <c r="V81" s="244">
        <f t="shared" si="46"/>
        <v>76.789168278529985</v>
      </c>
      <c r="W81" s="244">
        <f t="shared" si="47"/>
        <v>74.661508704061902</v>
      </c>
      <c r="X81" s="244">
        <f t="shared" si="48"/>
        <v>48.10914855072464</v>
      </c>
      <c r="Y81" s="245" t="s">
        <v>689</v>
      </c>
      <c r="Z81" s="239">
        <v>1980</v>
      </c>
      <c r="AA81" s="239">
        <v>3993</v>
      </c>
      <c r="AB81" s="2016"/>
      <c r="AC81" s="2016"/>
      <c r="AD81" s="2016"/>
      <c r="AE81" s="2016"/>
    </row>
    <row r="82" spans="1:31" s="238" customFormat="1" ht="14.15" customHeight="1">
      <c r="A82" s="904"/>
      <c r="B82" s="239">
        <v>40</v>
      </c>
      <c r="C82" s="239" t="s">
        <v>772</v>
      </c>
      <c r="D82" s="240" t="s">
        <v>1171</v>
      </c>
      <c r="E82" s="2032" t="s">
        <v>2297</v>
      </c>
      <c r="F82" s="2038" t="s">
        <v>2282</v>
      </c>
      <c r="G82" s="2034" t="s">
        <v>2281</v>
      </c>
      <c r="H82" s="241" t="s">
        <v>109</v>
      </c>
      <c r="I82" s="242">
        <v>5500</v>
      </c>
      <c r="J82" s="243">
        <v>3910</v>
      </c>
      <c r="K82" s="242">
        <v>3955</v>
      </c>
      <c r="L82" s="244">
        <v>98.9</v>
      </c>
      <c r="M82" s="239">
        <v>476</v>
      </c>
      <c r="N82" s="239">
        <v>407</v>
      </c>
      <c r="O82" s="239">
        <v>402</v>
      </c>
      <c r="P82" s="239">
        <v>2700</v>
      </c>
      <c r="Q82" s="239">
        <v>2447</v>
      </c>
      <c r="R82" s="239">
        <v>1304</v>
      </c>
      <c r="S82" s="239">
        <v>491</v>
      </c>
      <c r="T82" s="239">
        <v>626</v>
      </c>
      <c r="U82" s="239">
        <v>334</v>
      </c>
      <c r="V82" s="244">
        <f t="shared" si="46"/>
        <v>85.504201680672267</v>
      </c>
      <c r="W82" s="244">
        <f t="shared" si="47"/>
        <v>84.453781512605048</v>
      </c>
      <c r="X82" s="244">
        <f t="shared" si="48"/>
        <v>53.289742541888032</v>
      </c>
      <c r="Y82" s="245" t="s">
        <v>689</v>
      </c>
      <c r="Z82" s="239">
        <v>1859</v>
      </c>
      <c r="AA82" s="239">
        <v>4004</v>
      </c>
      <c r="AB82" s="2016"/>
      <c r="AC82" s="2016"/>
      <c r="AD82" s="2016"/>
      <c r="AE82" s="2016"/>
    </row>
    <row r="83" spans="1:31" s="238" customFormat="1" ht="14.15" customHeight="1" thickBot="1">
      <c r="A83" s="904"/>
      <c r="B83" s="247">
        <v>23</v>
      </c>
      <c r="C83" s="247" t="s">
        <v>773</v>
      </c>
      <c r="D83" s="248" t="s">
        <v>1171</v>
      </c>
      <c r="E83" s="2035" t="s">
        <v>2288</v>
      </c>
      <c r="F83" s="2039" t="s">
        <v>210</v>
      </c>
      <c r="G83" s="2037" t="s">
        <v>213</v>
      </c>
      <c r="H83" s="249" t="s">
        <v>112</v>
      </c>
      <c r="I83" s="302">
        <v>5200</v>
      </c>
      <c r="J83" s="235">
        <v>2689</v>
      </c>
      <c r="K83" s="250">
        <v>2689</v>
      </c>
      <c r="L83" s="251">
        <v>100</v>
      </c>
      <c r="M83" s="247">
        <v>685</v>
      </c>
      <c r="N83" s="247">
        <v>569</v>
      </c>
      <c r="O83" s="247">
        <v>569</v>
      </c>
      <c r="P83" s="247">
        <v>11000</v>
      </c>
      <c r="Q83" s="247">
        <v>5209</v>
      </c>
      <c r="R83" s="247">
        <v>1877</v>
      </c>
      <c r="S83" s="247">
        <v>2115</v>
      </c>
      <c r="T83" s="247">
        <v>1937</v>
      </c>
      <c r="U83" s="247">
        <v>698</v>
      </c>
      <c r="V83" s="251">
        <f t="shared" si="46"/>
        <v>83.065693430656935</v>
      </c>
      <c r="W83" s="251">
        <f t="shared" si="47"/>
        <v>83.065693430656935</v>
      </c>
      <c r="X83" s="251">
        <f t="shared" si="48"/>
        <v>36.033787675177578</v>
      </c>
      <c r="Y83" s="279" t="s">
        <v>693</v>
      </c>
      <c r="Z83" s="247">
        <v>1139</v>
      </c>
      <c r="AA83" s="247">
        <v>2158</v>
      </c>
      <c r="AB83" s="2016"/>
      <c r="AC83" s="2016"/>
      <c r="AD83" s="2016"/>
      <c r="AE83" s="2016"/>
    </row>
    <row r="84" spans="1:31" ht="14.15" customHeight="1" thickTop="1">
      <c r="A84" s="904"/>
      <c r="B84" s="252"/>
      <c r="C84" s="253" t="s">
        <v>34</v>
      </c>
      <c r="D84" s="274"/>
      <c r="E84" s="275"/>
      <c r="F84" s="307"/>
      <c r="G84" s="277"/>
      <c r="H84" s="278"/>
      <c r="I84" s="303">
        <f>+SUM(I79:I83)</f>
        <v>86970</v>
      </c>
      <c r="J84" s="259">
        <f>+SUM(J79:J83)</f>
        <v>75625</v>
      </c>
      <c r="K84" s="259">
        <f>+SUM(K79:K83)</f>
        <v>76978</v>
      </c>
      <c r="L84" s="261">
        <f t="shared" ref="L84" si="49">+ROUND(J84/K84*100,1)</f>
        <v>98.2</v>
      </c>
      <c r="M84" s="259">
        <f t="shared" ref="M84:R84" si="50">+SUM(M79:M83)</f>
        <v>11838</v>
      </c>
      <c r="N84" s="259">
        <f t="shared" si="50"/>
        <v>9573</v>
      </c>
      <c r="O84" s="259">
        <f t="shared" si="50"/>
        <v>9324</v>
      </c>
      <c r="P84" s="259">
        <f t="shared" si="50"/>
        <v>52260</v>
      </c>
      <c r="Q84" s="259">
        <f t="shared" si="50"/>
        <v>46643</v>
      </c>
      <c r="R84" s="259">
        <f t="shared" si="50"/>
        <v>32433</v>
      </c>
      <c r="S84" s="259">
        <f>+ROUND(P84/I84*1000,0)</f>
        <v>601</v>
      </c>
      <c r="T84" s="259">
        <f>+ROUND((Q84)/J84*1000,0)</f>
        <v>617</v>
      </c>
      <c r="U84" s="259">
        <f>+ROUND(R84/J84*1000,0)</f>
        <v>429</v>
      </c>
      <c r="V84" s="261">
        <f t="shared" ref="V84" si="51">+ROUND(N84/M84*100,1)</f>
        <v>80.900000000000006</v>
      </c>
      <c r="W84" s="261">
        <f>+ROUND(O84/M84*100,1)</f>
        <v>78.8</v>
      </c>
      <c r="X84" s="261">
        <f>+ROUND(R84/Q84*100,1)</f>
        <v>69.5</v>
      </c>
      <c r="Y84" s="262" t="s">
        <v>703</v>
      </c>
      <c r="Z84" s="259">
        <f>AVERAGE(Z79:Z83)</f>
        <v>1684</v>
      </c>
      <c r="AA84" s="259">
        <f>AVERAGE(AA79:AA83)</f>
        <v>3549</v>
      </c>
      <c r="AB84" s="2016"/>
      <c r="AC84" s="2016"/>
      <c r="AD84" s="2016"/>
      <c r="AE84" s="2016"/>
    </row>
    <row r="85" spans="1:31" ht="14.15" customHeight="1">
      <c r="A85" s="905"/>
      <c r="B85" s="263"/>
      <c r="C85" s="264"/>
      <c r="D85" s="265"/>
      <c r="E85" s="266"/>
      <c r="F85" s="308"/>
      <c r="G85" s="268"/>
      <c r="H85" s="269"/>
      <c r="I85" s="270"/>
      <c r="J85" s="270"/>
      <c r="K85" s="270"/>
      <c r="L85" s="272"/>
      <c r="M85" s="270"/>
      <c r="N85" s="270"/>
      <c r="O85" s="270"/>
      <c r="P85" s="270"/>
      <c r="Q85" s="270"/>
      <c r="R85" s="270"/>
      <c r="S85" s="270"/>
      <c r="T85" s="270"/>
      <c r="U85" s="270"/>
      <c r="V85" s="272"/>
      <c r="W85" s="272"/>
      <c r="X85" s="272"/>
      <c r="Y85" s="270"/>
      <c r="Z85" s="270"/>
      <c r="AA85" s="270"/>
      <c r="AB85" s="2016"/>
      <c r="AC85" s="2016"/>
      <c r="AD85" s="2016"/>
      <c r="AE85" s="2016"/>
    </row>
    <row r="86" spans="1:31" ht="14.15" customHeight="1">
      <c r="A86" s="796" t="s">
        <v>774</v>
      </c>
      <c r="B86" s="2051"/>
      <c r="C86" s="309" t="s">
        <v>34</v>
      </c>
      <c r="D86" s="310"/>
      <c r="E86" s="311"/>
      <c r="F86" s="312"/>
      <c r="G86" s="313"/>
      <c r="H86" s="314"/>
      <c r="I86" s="315">
        <f>+I12+I17+I30+I40+I48+I51+I60+I66+I77+I84</f>
        <v>2089937</v>
      </c>
      <c r="J86" s="315">
        <f t="shared" ref="J86:R86" si="52">+J12+J17+J30+J40+J48+J51+J60+J66+J77+J84</f>
        <v>1918018</v>
      </c>
      <c r="K86" s="315">
        <f t="shared" si="52"/>
        <v>1931987</v>
      </c>
      <c r="L86" s="316">
        <f>+ROUND(J86/K86*100,1)</f>
        <v>99.3</v>
      </c>
      <c r="M86" s="315">
        <f t="shared" si="52"/>
        <v>260512</v>
      </c>
      <c r="N86" s="315">
        <f t="shared" si="52"/>
        <v>222313</v>
      </c>
      <c r="O86" s="315">
        <f t="shared" si="52"/>
        <v>215198</v>
      </c>
      <c r="P86" s="315">
        <f t="shared" si="52"/>
        <v>1004359</v>
      </c>
      <c r="Q86" s="315">
        <f t="shared" si="52"/>
        <v>843928</v>
      </c>
      <c r="R86" s="315">
        <f t="shared" si="52"/>
        <v>715560</v>
      </c>
      <c r="S86" s="315">
        <f>+ROUND((P86-4205)/I86*1000,0)</f>
        <v>479</v>
      </c>
      <c r="T86" s="315">
        <f>+ROUND((Q86-1629)/J86*1000,0)</f>
        <v>439</v>
      </c>
      <c r="U86" s="315">
        <f>+ROUND((R86-1398)/K86*1000,0)</f>
        <v>370</v>
      </c>
      <c r="V86" s="316">
        <f>+ROUND((N86+527)/(M86+527)*100,1)</f>
        <v>85.4</v>
      </c>
      <c r="W86" s="316">
        <f>+ROUND((O86+527)/(M86+527)*100,1)</f>
        <v>82.6</v>
      </c>
      <c r="X86" s="316">
        <f>+ROUND(R86/Q86*100,1)</f>
        <v>84.8</v>
      </c>
      <c r="Y86" s="317" t="s">
        <v>703</v>
      </c>
      <c r="Z86" s="315">
        <f>+ROUND((SUM(Z5:Z11)+SUM(Z14:Z16)+SUM(Z19:Z29)+SUM(Z32:Z39)+SUM(Z42:Z47)+Z50+SUM(Z53:Z59)+SUM(Z62:Z65)+SUM(Z68:Z76)+SUM(Z79:Z83))/61,0)</f>
        <v>1741</v>
      </c>
      <c r="AA86" s="315">
        <f>+ROUND((SUM(AA5:AA11)+SUM(AA14:AA16)+SUM(AA19:AA29)+SUM(AA32:AA39)+SUM(AA42:AA47)+AA50+SUM(AA53:AA59)+SUM(AA62:AA65)+SUM(AA68:AA76)+SUM(AA79:AA83))/61,0)</f>
        <v>3274</v>
      </c>
      <c r="AB86" s="2016"/>
      <c r="AC86" s="2016"/>
      <c r="AD86" s="2016"/>
      <c r="AE86" s="2016"/>
    </row>
    <row r="87" spans="1:31" s="238" customFormat="1" ht="14.15" customHeight="1">
      <c r="A87" s="318"/>
      <c r="B87" s="2052"/>
      <c r="C87" s="319"/>
      <c r="D87" s="320"/>
      <c r="E87" s="321"/>
      <c r="F87" s="322"/>
      <c r="G87" s="323"/>
      <c r="H87" s="324"/>
      <c r="I87" s="325"/>
      <c r="J87" s="325"/>
      <c r="K87" s="325"/>
      <c r="L87" s="326"/>
      <c r="M87" s="325"/>
      <c r="N87" s="325"/>
      <c r="O87" s="325"/>
      <c r="P87" s="325"/>
      <c r="Q87" s="325"/>
      <c r="R87" s="325"/>
      <c r="S87" s="325"/>
      <c r="T87" s="325"/>
      <c r="U87" s="325"/>
      <c r="V87" s="326"/>
      <c r="W87" s="326"/>
      <c r="X87" s="326"/>
      <c r="Y87" s="325"/>
      <c r="Z87" s="325"/>
      <c r="AA87" s="325"/>
      <c r="AB87" s="327"/>
      <c r="AC87" s="327"/>
    </row>
    <row r="88" spans="1:31" ht="14.15" customHeight="1">
      <c r="A88" s="150" t="s">
        <v>775</v>
      </c>
      <c r="D88" s="909"/>
      <c r="E88" s="909"/>
      <c r="G88" s="328"/>
    </row>
    <row r="89" spans="1:31" ht="14.15" customHeight="1">
      <c r="A89" s="849" t="s">
        <v>581</v>
      </c>
      <c r="B89" s="2022" t="s">
        <v>496</v>
      </c>
      <c r="C89" s="849" t="s">
        <v>497</v>
      </c>
      <c r="D89" s="849" t="s">
        <v>2266</v>
      </c>
      <c r="E89" s="849"/>
      <c r="F89" s="853"/>
      <c r="G89" s="895"/>
      <c r="H89" s="330"/>
      <c r="I89" s="238"/>
      <c r="J89" s="238"/>
      <c r="K89" s="238"/>
      <c r="L89" s="331"/>
      <c r="M89" s="238"/>
    </row>
    <row r="90" spans="1:31" ht="14.15" customHeight="1">
      <c r="A90" s="849"/>
      <c r="B90" s="2022"/>
      <c r="C90" s="849"/>
      <c r="D90" s="849"/>
      <c r="E90" s="849"/>
      <c r="F90" s="332"/>
      <c r="G90" s="333"/>
      <c r="H90" s="330"/>
      <c r="I90" s="238"/>
      <c r="J90" s="238"/>
      <c r="K90" s="238"/>
      <c r="L90" s="331"/>
      <c r="M90" s="238"/>
    </row>
    <row r="91" spans="1:31" ht="14.15" customHeight="1">
      <c r="A91" s="896" t="s">
        <v>507</v>
      </c>
      <c r="B91" s="2053">
        <v>13</v>
      </c>
      <c r="C91" s="231" t="s">
        <v>691</v>
      </c>
      <c r="D91" s="898">
        <v>78</v>
      </c>
      <c r="E91" s="898"/>
      <c r="F91" s="334"/>
      <c r="G91" s="2054"/>
      <c r="H91" s="330"/>
      <c r="I91" s="238"/>
      <c r="J91" s="238"/>
      <c r="K91" s="238"/>
      <c r="L91" s="331"/>
      <c r="M91" s="238"/>
    </row>
    <row r="92" spans="1:31" ht="14.15" customHeight="1">
      <c r="A92" s="897"/>
      <c r="B92" s="2055">
        <v>50</v>
      </c>
      <c r="C92" s="335" t="s">
        <v>373</v>
      </c>
      <c r="D92" s="899">
        <v>145</v>
      </c>
      <c r="E92" s="899"/>
      <c r="F92" s="334"/>
      <c r="G92" s="2056"/>
      <c r="H92" s="238"/>
      <c r="I92" s="238"/>
      <c r="J92" s="238"/>
      <c r="K92" s="238"/>
      <c r="L92" s="331"/>
      <c r="M92" s="238"/>
    </row>
    <row r="93" spans="1:31" ht="14.15" customHeight="1">
      <c r="A93" s="795" t="s">
        <v>516</v>
      </c>
      <c r="B93" s="2057">
        <v>89</v>
      </c>
      <c r="C93" s="281" t="s">
        <v>2267</v>
      </c>
      <c r="D93" s="900">
        <v>237</v>
      </c>
      <c r="E93" s="901"/>
      <c r="F93" s="334"/>
      <c r="G93" s="2056"/>
      <c r="H93" s="238"/>
      <c r="I93" s="238"/>
      <c r="J93" s="238"/>
      <c r="K93" s="238"/>
      <c r="L93" s="331"/>
      <c r="M93" s="238"/>
    </row>
    <row r="94" spans="1:31" ht="14.15" customHeight="1">
      <c r="A94" s="797" t="s">
        <v>255</v>
      </c>
      <c r="B94" s="2023">
        <v>57</v>
      </c>
      <c r="C94" s="180" t="s">
        <v>776</v>
      </c>
      <c r="D94" s="902">
        <v>67</v>
      </c>
      <c r="E94" s="902"/>
      <c r="F94" s="334"/>
      <c r="G94" s="2054"/>
      <c r="H94" s="330"/>
      <c r="I94" s="238"/>
      <c r="J94" s="238"/>
      <c r="K94" s="238"/>
      <c r="L94" s="331"/>
      <c r="M94" s="238"/>
    </row>
    <row r="95" spans="1:31" ht="14.15" customHeight="1">
      <c r="A95" s="796" t="s">
        <v>774</v>
      </c>
      <c r="B95" s="2058"/>
      <c r="C95" s="309" t="s">
        <v>34</v>
      </c>
      <c r="D95" s="894">
        <f>+SUM(D91:E94)</f>
        <v>527</v>
      </c>
      <c r="E95" s="894"/>
      <c r="F95" s="322"/>
      <c r="G95" s="323"/>
      <c r="H95" s="330"/>
      <c r="I95" s="238"/>
      <c r="J95" s="238"/>
      <c r="K95" s="238"/>
      <c r="L95" s="331"/>
      <c r="M95" s="238"/>
    </row>
    <row r="96" spans="1:31" ht="14.15" customHeight="1">
      <c r="F96" s="322"/>
      <c r="G96" s="323"/>
    </row>
    <row r="97" spans="6:7" ht="14.15" customHeight="1">
      <c r="F97" s="322"/>
      <c r="G97" s="323"/>
    </row>
    <row r="98" spans="6:7" ht="12" customHeight="1"/>
    <row r="99" spans="6:7" ht="14.15" customHeight="1"/>
    <row r="100" spans="6:7" ht="14.15" customHeight="1"/>
    <row r="101" spans="6:7" ht="14.15" customHeight="1"/>
    <row r="102" spans="6:7" ht="14.15" customHeight="1"/>
    <row r="103" spans="6:7" ht="14.15" customHeight="1"/>
    <row r="104" spans="6:7" ht="14.15" customHeight="1"/>
    <row r="105" spans="6:7" ht="14.15" customHeight="1"/>
    <row r="106" spans="6:7" ht="14.15" customHeight="1"/>
    <row r="107" spans="6:7" ht="14.15" customHeight="1"/>
    <row r="108" spans="6:7" ht="14.15" customHeight="1"/>
    <row r="109" spans="6:7" ht="14.15" customHeight="1"/>
    <row r="110" spans="6:7" ht="14.15" customHeight="1"/>
    <row r="111" spans="6:7" ht="14.15" customHeight="1"/>
    <row r="112" spans="6:7" ht="14.15" customHeight="1"/>
    <row r="113" ht="14.15" customHeight="1"/>
    <row r="114" ht="14.15" customHeight="1"/>
    <row r="115" ht="14.15" customHeight="1"/>
    <row r="116" ht="14.15" customHeight="1"/>
    <row r="117" ht="14.15" customHeight="1"/>
    <row r="118" ht="14.15" customHeight="1"/>
    <row r="119" ht="14.15" customHeight="1"/>
    <row r="120" ht="14.15" customHeight="1"/>
    <row r="121" ht="14.15" customHeight="1"/>
    <row r="122" ht="14.15" customHeight="1"/>
    <row r="123" ht="14.15" customHeight="1"/>
    <row r="124" ht="14.15" customHeight="1"/>
    <row r="125" ht="14.15" customHeight="1"/>
    <row r="126" ht="14.15" customHeight="1"/>
    <row r="127" ht="14.15" customHeight="1"/>
    <row r="128" ht="14.15" customHeight="1"/>
    <row r="129" ht="14.15" customHeight="1"/>
    <row r="130" ht="14.15" customHeight="1"/>
    <row r="131" ht="14.15" customHeight="1"/>
    <row r="132" ht="14.15" customHeight="1"/>
    <row r="133" ht="14.15" customHeight="1"/>
    <row r="134" ht="14.15" customHeight="1"/>
    <row r="135" ht="14.15" customHeight="1"/>
    <row r="136" ht="14.15" customHeight="1"/>
    <row r="137" ht="14.15" customHeight="1"/>
    <row r="138" ht="14.15" customHeight="1"/>
    <row r="139" ht="14.15" customHeight="1"/>
    <row r="140" ht="14.15" customHeight="1"/>
    <row r="141" ht="14.15" customHeight="1"/>
    <row r="142" ht="14.15" customHeight="1"/>
    <row r="143" ht="14.15" customHeight="1"/>
    <row r="144" ht="14.15" customHeight="1"/>
    <row r="145" ht="14.15" customHeight="1"/>
    <row r="146" ht="14.15" customHeight="1"/>
    <row r="147" ht="14.15" customHeight="1"/>
    <row r="148" ht="14.15" customHeight="1"/>
    <row r="149" ht="14.15" customHeight="1"/>
    <row r="150" ht="14.15" customHeight="1"/>
    <row r="151" ht="14.15" customHeight="1"/>
    <row r="152" ht="14.15" customHeight="1"/>
    <row r="153" ht="14.15" customHeight="1"/>
    <row r="154" ht="14.15" customHeight="1"/>
    <row r="155" ht="14.15" customHeight="1"/>
    <row r="156" ht="14.15" customHeight="1"/>
    <row r="157" ht="14.15" customHeight="1"/>
    <row r="158" ht="14.15" customHeight="1"/>
    <row r="159" ht="14.15" customHeight="1"/>
    <row r="16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sheetData>
  <mergeCells count="35">
    <mergeCell ref="D95:E95"/>
    <mergeCell ref="F89:G89"/>
    <mergeCell ref="A91:A92"/>
    <mergeCell ref="D91:E91"/>
    <mergeCell ref="D92:E92"/>
    <mergeCell ref="D93:E93"/>
    <mergeCell ref="D94:E94"/>
    <mergeCell ref="A53:A61"/>
    <mergeCell ref="A62:A67"/>
    <mergeCell ref="A68:A78"/>
    <mergeCell ref="A79:A85"/>
    <mergeCell ref="D88:E88"/>
    <mergeCell ref="A89:A90"/>
    <mergeCell ref="B89:B90"/>
    <mergeCell ref="C89:C90"/>
    <mergeCell ref="D89:E90"/>
    <mergeCell ref="A5:A13"/>
    <mergeCell ref="A14:A18"/>
    <mergeCell ref="A19:A31"/>
    <mergeCell ref="A32:A41"/>
    <mergeCell ref="A42:A49"/>
    <mergeCell ref="A50:A52"/>
    <mergeCell ref="L3:L4"/>
    <mergeCell ref="M3:O3"/>
    <mergeCell ref="P3:R3"/>
    <mergeCell ref="S3:U3"/>
    <mergeCell ref="V3:X3"/>
    <mergeCell ref="Y3:AA3"/>
    <mergeCell ref="A3:A4"/>
    <mergeCell ref="B3:B4"/>
    <mergeCell ref="C3:C4"/>
    <mergeCell ref="D3:H3"/>
    <mergeCell ref="I3:J3"/>
    <mergeCell ref="K3:K4"/>
    <mergeCell ref="D4:G4"/>
  </mergeCells>
  <phoneticPr fontId="6"/>
  <pageMargins left="0.98425196850393704" right="0.19685039370078741" top="0.59055118110236227" bottom="0.78740157480314965" header="0.51181102362204722" footer="0.51181102362204722"/>
  <pageSetup paperSize="9" scale="93" fitToWidth="2" fitToHeight="2" pageOrder="overThenDown" orientation="portrait" r:id="rId1"/>
  <headerFooter alignWithMargins="0"/>
  <rowBreaks count="1" manualBreakCount="1">
    <brk id="52" max="26"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C59CF-58AF-4008-B211-61E265FC517F}">
  <dimension ref="A1:WWK208"/>
  <sheetViews>
    <sheetView view="pageBreakPreview" zoomScale="90" zoomScaleNormal="85" zoomScaleSheetLayoutView="90" workbookViewId="0">
      <pane xSplit="3" ySplit="5" topLeftCell="E6" activePane="bottomRight" state="frozen"/>
      <selection pane="topRight" activeCell="D1" sqref="D1"/>
      <selection pane="bottomLeft" activeCell="A6" sqref="A6"/>
      <selection pane="bottomRight"/>
    </sheetView>
  </sheetViews>
  <sheetFormatPr defaultRowHeight="13"/>
  <cols>
    <col min="1" max="1" width="5.6328125" style="150" customWidth="1"/>
    <col min="2" max="2" width="3" style="150" customWidth="1"/>
    <col min="3" max="3" width="15.36328125" style="150" customWidth="1"/>
    <col min="4" max="8" width="6.08984375" style="150" customWidth="1"/>
    <col min="9" max="9" width="4.08984375" style="150" customWidth="1"/>
    <col min="10" max="10" width="6.08984375" style="150" customWidth="1"/>
    <col min="11" max="11" width="4.08984375" style="150" customWidth="1"/>
    <col min="12" max="12" width="6.90625" style="150" customWidth="1"/>
    <col min="13" max="16" width="6.08984375" style="150" customWidth="1"/>
    <col min="17" max="17" width="5.08984375" style="179" customWidth="1"/>
    <col min="18" max="18" width="6.08984375" style="150" customWidth="1"/>
    <col min="19" max="19" width="4.453125" style="179" customWidth="1"/>
    <col min="20" max="20" width="6.08984375" style="150" customWidth="1"/>
    <col min="21" max="21" width="4.6328125" style="179" customWidth="1"/>
    <col min="22" max="22" width="6.08984375" style="150" customWidth="1"/>
    <col min="23" max="23" width="5.08984375" style="179" customWidth="1"/>
    <col min="24" max="25" width="6.08984375" style="150" customWidth="1"/>
    <col min="26" max="26" width="4.26953125" style="150" customWidth="1"/>
    <col min="27" max="27" width="6.08984375" style="150" customWidth="1"/>
    <col min="28" max="28" width="4.08984375" style="150" customWidth="1"/>
    <col min="29" max="30" width="6.08984375" style="150" customWidth="1"/>
    <col min="31" max="31" width="8.7265625" style="150"/>
    <col min="32" max="256" width="8.7265625" style="2016"/>
    <col min="257" max="257" width="5.6328125" style="2016" customWidth="1"/>
    <col min="258" max="258" width="3" style="2016" customWidth="1"/>
    <col min="259" max="259" width="15.36328125" style="2016" customWidth="1"/>
    <col min="260" max="264" width="6.08984375" style="2016" customWidth="1"/>
    <col min="265" max="265" width="4.08984375" style="2016" customWidth="1"/>
    <col min="266" max="266" width="6.08984375" style="2016" customWidth="1"/>
    <col min="267" max="267" width="4.08984375" style="2016" customWidth="1"/>
    <col min="268" max="268" width="6.90625" style="2016" customWidth="1"/>
    <col min="269" max="272" width="6.08984375" style="2016" customWidth="1"/>
    <col min="273" max="273" width="4.08984375" style="2016" customWidth="1"/>
    <col min="274" max="274" width="6.08984375" style="2016" customWidth="1"/>
    <col min="275" max="275" width="4.08984375" style="2016" customWidth="1"/>
    <col min="276" max="276" width="6.08984375" style="2016" customWidth="1"/>
    <col min="277" max="277" width="4.08984375" style="2016" customWidth="1"/>
    <col min="278" max="278" width="6.08984375" style="2016" customWidth="1"/>
    <col min="279" max="279" width="4.08984375" style="2016" customWidth="1"/>
    <col min="280" max="281" width="6.08984375" style="2016" customWidth="1"/>
    <col min="282" max="282" width="4.26953125" style="2016" customWidth="1"/>
    <col min="283" max="283" width="6.08984375" style="2016" customWidth="1"/>
    <col min="284" max="284" width="4.08984375" style="2016" customWidth="1"/>
    <col min="285" max="286" width="6.08984375" style="2016" customWidth="1"/>
    <col min="287" max="512" width="8.7265625" style="2016"/>
    <col min="513" max="513" width="5.6328125" style="2016" customWidth="1"/>
    <col min="514" max="514" width="3" style="2016" customWidth="1"/>
    <col min="515" max="515" width="15.36328125" style="2016" customWidth="1"/>
    <col min="516" max="520" width="6.08984375" style="2016" customWidth="1"/>
    <col min="521" max="521" width="4.08984375" style="2016" customWidth="1"/>
    <col min="522" max="522" width="6.08984375" style="2016" customWidth="1"/>
    <col min="523" max="523" width="4.08984375" style="2016" customWidth="1"/>
    <col min="524" max="524" width="6.90625" style="2016" customWidth="1"/>
    <col min="525" max="528" width="6.08984375" style="2016" customWidth="1"/>
    <col min="529" max="529" width="4.08984375" style="2016" customWidth="1"/>
    <col min="530" max="530" width="6.08984375" style="2016" customWidth="1"/>
    <col min="531" max="531" width="4.08984375" style="2016" customWidth="1"/>
    <col min="532" max="532" width="6.08984375" style="2016" customWidth="1"/>
    <col min="533" max="533" width="4.08984375" style="2016" customWidth="1"/>
    <col min="534" max="534" width="6.08984375" style="2016" customWidth="1"/>
    <col min="535" max="535" width="4.08984375" style="2016" customWidth="1"/>
    <col min="536" max="537" width="6.08984375" style="2016" customWidth="1"/>
    <col min="538" max="538" width="4.26953125" style="2016" customWidth="1"/>
    <col min="539" max="539" width="6.08984375" style="2016" customWidth="1"/>
    <col min="540" max="540" width="4.08984375" style="2016" customWidth="1"/>
    <col min="541" max="542" width="6.08984375" style="2016" customWidth="1"/>
    <col min="543" max="768" width="8.7265625" style="2016"/>
    <col min="769" max="769" width="5.6328125" style="2016" customWidth="1"/>
    <col min="770" max="770" width="3" style="2016" customWidth="1"/>
    <col min="771" max="771" width="15.36328125" style="2016" customWidth="1"/>
    <col min="772" max="776" width="6.08984375" style="2016" customWidth="1"/>
    <col min="777" max="777" width="4.08984375" style="2016" customWidth="1"/>
    <col min="778" max="778" width="6.08984375" style="2016" customWidth="1"/>
    <col min="779" max="779" width="4.08984375" style="2016" customWidth="1"/>
    <col min="780" max="780" width="6.90625" style="2016" customWidth="1"/>
    <col min="781" max="784" width="6.08984375" style="2016" customWidth="1"/>
    <col min="785" max="785" width="4.08984375" style="2016" customWidth="1"/>
    <col min="786" max="786" width="6.08984375" style="2016" customWidth="1"/>
    <col min="787" max="787" width="4.08984375" style="2016" customWidth="1"/>
    <col min="788" max="788" width="6.08984375" style="2016" customWidth="1"/>
    <col min="789" max="789" width="4.08984375" style="2016" customWidth="1"/>
    <col min="790" max="790" width="6.08984375" style="2016" customWidth="1"/>
    <col min="791" max="791" width="4.08984375" style="2016" customWidth="1"/>
    <col min="792" max="793" width="6.08984375" style="2016" customWidth="1"/>
    <col min="794" max="794" width="4.26953125" style="2016" customWidth="1"/>
    <col min="795" max="795" width="6.08984375" style="2016" customWidth="1"/>
    <col min="796" max="796" width="4.08984375" style="2016" customWidth="1"/>
    <col min="797" max="798" width="6.08984375" style="2016" customWidth="1"/>
    <col min="799" max="1024" width="8.7265625" style="2016"/>
    <col min="1025" max="1025" width="5.6328125" style="2016" customWidth="1"/>
    <col min="1026" max="1026" width="3" style="2016" customWidth="1"/>
    <col min="1027" max="1027" width="15.36328125" style="2016" customWidth="1"/>
    <col min="1028" max="1032" width="6.08984375" style="2016" customWidth="1"/>
    <col min="1033" max="1033" width="4.08984375" style="2016" customWidth="1"/>
    <col min="1034" max="1034" width="6.08984375" style="2016" customWidth="1"/>
    <col min="1035" max="1035" width="4.08984375" style="2016" customWidth="1"/>
    <col min="1036" max="1036" width="6.90625" style="2016" customWidth="1"/>
    <col min="1037" max="1040" width="6.08984375" style="2016" customWidth="1"/>
    <col min="1041" max="1041" width="4.08984375" style="2016" customWidth="1"/>
    <col min="1042" max="1042" width="6.08984375" style="2016" customWidth="1"/>
    <col min="1043" max="1043" width="4.08984375" style="2016" customWidth="1"/>
    <col min="1044" max="1044" width="6.08984375" style="2016" customWidth="1"/>
    <col min="1045" max="1045" width="4.08984375" style="2016" customWidth="1"/>
    <col min="1046" max="1046" width="6.08984375" style="2016" customWidth="1"/>
    <col min="1047" max="1047" width="4.08984375" style="2016" customWidth="1"/>
    <col min="1048" max="1049" width="6.08984375" style="2016" customWidth="1"/>
    <col min="1050" max="1050" width="4.26953125" style="2016" customWidth="1"/>
    <col min="1051" max="1051" width="6.08984375" style="2016" customWidth="1"/>
    <col min="1052" max="1052" width="4.08984375" style="2016" customWidth="1"/>
    <col min="1053" max="1054" width="6.08984375" style="2016" customWidth="1"/>
    <col min="1055" max="1280" width="8.7265625" style="2016"/>
    <col min="1281" max="1281" width="5.6328125" style="2016" customWidth="1"/>
    <col min="1282" max="1282" width="3" style="2016" customWidth="1"/>
    <col min="1283" max="1283" width="15.36328125" style="2016" customWidth="1"/>
    <col min="1284" max="1288" width="6.08984375" style="2016" customWidth="1"/>
    <col min="1289" max="1289" width="4.08984375" style="2016" customWidth="1"/>
    <col min="1290" max="1290" width="6.08984375" style="2016" customWidth="1"/>
    <col min="1291" max="1291" width="4.08984375" style="2016" customWidth="1"/>
    <col min="1292" max="1292" width="6.90625" style="2016" customWidth="1"/>
    <col min="1293" max="1296" width="6.08984375" style="2016" customWidth="1"/>
    <col min="1297" max="1297" width="4.08984375" style="2016" customWidth="1"/>
    <col min="1298" max="1298" width="6.08984375" style="2016" customWidth="1"/>
    <col min="1299" max="1299" width="4.08984375" style="2016" customWidth="1"/>
    <col min="1300" max="1300" width="6.08984375" style="2016" customWidth="1"/>
    <col min="1301" max="1301" width="4.08984375" style="2016" customWidth="1"/>
    <col min="1302" max="1302" width="6.08984375" style="2016" customWidth="1"/>
    <col min="1303" max="1303" width="4.08984375" style="2016" customWidth="1"/>
    <col min="1304" max="1305" width="6.08984375" style="2016" customWidth="1"/>
    <col min="1306" max="1306" width="4.26953125" style="2016" customWidth="1"/>
    <col min="1307" max="1307" width="6.08984375" style="2016" customWidth="1"/>
    <col min="1308" max="1308" width="4.08984375" style="2016" customWidth="1"/>
    <col min="1309" max="1310" width="6.08984375" style="2016" customWidth="1"/>
    <col min="1311" max="1536" width="8.7265625" style="2016"/>
    <col min="1537" max="1537" width="5.6328125" style="2016" customWidth="1"/>
    <col min="1538" max="1538" width="3" style="2016" customWidth="1"/>
    <col min="1539" max="1539" width="15.36328125" style="2016" customWidth="1"/>
    <col min="1540" max="1544" width="6.08984375" style="2016" customWidth="1"/>
    <col min="1545" max="1545" width="4.08984375" style="2016" customWidth="1"/>
    <col min="1546" max="1546" width="6.08984375" style="2016" customWidth="1"/>
    <col min="1547" max="1547" width="4.08984375" style="2016" customWidth="1"/>
    <col min="1548" max="1548" width="6.90625" style="2016" customWidth="1"/>
    <col min="1549" max="1552" width="6.08984375" style="2016" customWidth="1"/>
    <col min="1553" max="1553" width="4.08984375" style="2016" customWidth="1"/>
    <col min="1554" max="1554" width="6.08984375" style="2016" customWidth="1"/>
    <col min="1555" max="1555" width="4.08984375" style="2016" customWidth="1"/>
    <col min="1556" max="1556" width="6.08984375" style="2016" customWidth="1"/>
    <col min="1557" max="1557" width="4.08984375" style="2016" customWidth="1"/>
    <col min="1558" max="1558" width="6.08984375" style="2016" customWidth="1"/>
    <col min="1559" max="1559" width="4.08984375" style="2016" customWidth="1"/>
    <col min="1560" max="1561" width="6.08984375" style="2016" customWidth="1"/>
    <col min="1562" max="1562" width="4.26953125" style="2016" customWidth="1"/>
    <col min="1563" max="1563" width="6.08984375" style="2016" customWidth="1"/>
    <col min="1564" max="1564" width="4.08984375" style="2016" customWidth="1"/>
    <col min="1565" max="1566" width="6.08984375" style="2016" customWidth="1"/>
    <col min="1567" max="1792" width="8.7265625" style="2016"/>
    <col min="1793" max="1793" width="5.6328125" style="2016" customWidth="1"/>
    <col min="1794" max="1794" width="3" style="2016" customWidth="1"/>
    <col min="1795" max="1795" width="15.36328125" style="2016" customWidth="1"/>
    <col min="1796" max="1800" width="6.08984375" style="2016" customWidth="1"/>
    <col min="1801" max="1801" width="4.08984375" style="2016" customWidth="1"/>
    <col min="1802" max="1802" width="6.08984375" style="2016" customWidth="1"/>
    <col min="1803" max="1803" width="4.08984375" style="2016" customWidth="1"/>
    <col min="1804" max="1804" width="6.90625" style="2016" customWidth="1"/>
    <col min="1805" max="1808" width="6.08984375" style="2016" customWidth="1"/>
    <col min="1809" max="1809" width="4.08984375" style="2016" customWidth="1"/>
    <col min="1810" max="1810" width="6.08984375" style="2016" customWidth="1"/>
    <col min="1811" max="1811" width="4.08984375" style="2016" customWidth="1"/>
    <col min="1812" max="1812" width="6.08984375" style="2016" customWidth="1"/>
    <col min="1813" max="1813" width="4.08984375" style="2016" customWidth="1"/>
    <col min="1814" max="1814" width="6.08984375" style="2016" customWidth="1"/>
    <col min="1815" max="1815" width="4.08984375" style="2016" customWidth="1"/>
    <col min="1816" max="1817" width="6.08984375" style="2016" customWidth="1"/>
    <col min="1818" max="1818" width="4.26953125" style="2016" customWidth="1"/>
    <col min="1819" max="1819" width="6.08984375" style="2016" customWidth="1"/>
    <col min="1820" max="1820" width="4.08984375" style="2016" customWidth="1"/>
    <col min="1821" max="1822" width="6.08984375" style="2016" customWidth="1"/>
    <col min="1823" max="2048" width="8.7265625" style="2016"/>
    <col min="2049" max="2049" width="5.6328125" style="2016" customWidth="1"/>
    <col min="2050" max="2050" width="3" style="2016" customWidth="1"/>
    <col min="2051" max="2051" width="15.36328125" style="2016" customWidth="1"/>
    <col min="2052" max="2056" width="6.08984375" style="2016" customWidth="1"/>
    <col min="2057" max="2057" width="4.08984375" style="2016" customWidth="1"/>
    <col min="2058" max="2058" width="6.08984375" style="2016" customWidth="1"/>
    <col min="2059" max="2059" width="4.08984375" style="2016" customWidth="1"/>
    <col min="2060" max="2060" width="6.90625" style="2016" customWidth="1"/>
    <col min="2061" max="2064" width="6.08984375" style="2016" customWidth="1"/>
    <col min="2065" max="2065" width="4.08984375" style="2016" customWidth="1"/>
    <col min="2066" max="2066" width="6.08984375" style="2016" customWidth="1"/>
    <col min="2067" max="2067" width="4.08984375" style="2016" customWidth="1"/>
    <col min="2068" max="2068" width="6.08984375" style="2016" customWidth="1"/>
    <col min="2069" max="2069" width="4.08984375" style="2016" customWidth="1"/>
    <col min="2070" max="2070" width="6.08984375" style="2016" customWidth="1"/>
    <col min="2071" max="2071" width="4.08984375" style="2016" customWidth="1"/>
    <col min="2072" max="2073" width="6.08984375" style="2016" customWidth="1"/>
    <col min="2074" max="2074" width="4.26953125" style="2016" customWidth="1"/>
    <col min="2075" max="2075" width="6.08984375" style="2016" customWidth="1"/>
    <col min="2076" max="2076" width="4.08984375" style="2016" customWidth="1"/>
    <col min="2077" max="2078" width="6.08984375" style="2016" customWidth="1"/>
    <col min="2079" max="2304" width="8.7265625" style="2016"/>
    <col min="2305" max="2305" width="5.6328125" style="2016" customWidth="1"/>
    <col min="2306" max="2306" width="3" style="2016" customWidth="1"/>
    <col min="2307" max="2307" width="15.36328125" style="2016" customWidth="1"/>
    <col min="2308" max="2312" width="6.08984375" style="2016" customWidth="1"/>
    <col min="2313" max="2313" width="4.08984375" style="2016" customWidth="1"/>
    <col min="2314" max="2314" width="6.08984375" style="2016" customWidth="1"/>
    <col min="2315" max="2315" width="4.08984375" style="2016" customWidth="1"/>
    <col min="2316" max="2316" width="6.90625" style="2016" customWidth="1"/>
    <col min="2317" max="2320" width="6.08984375" style="2016" customWidth="1"/>
    <col min="2321" max="2321" width="4.08984375" style="2016" customWidth="1"/>
    <col min="2322" max="2322" width="6.08984375" style="2016" customWidth="1"/>
    <col min="2323" max="2323" width="4.08984375" style="2016" customWidth="1"/>
    <col min="2324" max="2324" width="6.08984375" style="2016" customWidth="1"/>
    <col min="2325" max="2325" width="4.08984375" style="2016" customWidth="1"/>
    <col min="2326" max="2326" width="6.08984375" style="2016" customWidth="1"/>
    <col min="2327" max="2327" width="4.08984375" style="2016" customWidth="1"/>
    <col min="2328" max="2329" width="6.08984375" style="2016" customWidth="1"/>
    <col min="2330" max="2330" width="4.26953125" style="2016" customWidth="1"/>
    <col min="2331" max="2331" width="6.08984375" style="2016" customWidth="1"/>
    <col min="2332" max="2332" width="4.08984375" style="2016" customWidth="1"/>
    <col min="2333" max="2334" width="6.08984375" style="2016" customWidth="1"/>
    <col min="2335" max="2560" width="8.7265625" style="2016"/>
    <col min="2561" max="2561" width="5.6328125" style="2016" customWidth="1"/>
    <col min="2562" max="2562" width="3" style="2016" customWidth="1"/>
    <col min="2563" max="2563" width="15.36328125" style="2016" customWidth="1"/>
    <col min="2564" max="2568" width="6.08984375" style="2016" customWidth="1"/>
    <col min="2569" max="2569" width="4.08984375" style="2016" customWidth="1"/>
    <col min="2570" max="2570" width="6.08984375" style="2016" customWidth="1"/>
    <col min="2571" max="2571" width="4.08984375" style="2016" customWidth="1"/>
    <col min="2572" max="2572" width="6.90625" style="2016" customWidth="1"/>
    <col min="2573" max="2576" width="6.08984375" style="2016" customWidth="1"/>
    <col min="2577" max="2577" width="4.08984375" style="2016" customWidth="1"/>
    <col min="2578" max="2578" width="6.08984375" style="2016" customWidth="1"/>
    <col min="2579" max="2579" width="4.08984375" style="2016" customWidth="1"/>
    <col min="2580" max="2580" width="6.08984375" style="2016" customWidth="1"/>
    <col min="2581" max="2581" width="4.08984375" style="2016" customWidth="1"/>
    <col min="2582" max="2582" width="6.08984375" style="2016" customWidth="1"/>
    <col min="2583" max="2583" width="4.08984375" style="2016" customWidth="1"/>
    <col min="2584" max="2585" width="6.08984375" style="2016" customWidth="1"/>
    <col min="2586" max="2586" width="4.26953125" style="2016" customWidth="1"/>
    <col min="2587" max="2587" width="6.08984375" style="2016" customWidth="1"/>
    <col min="2588" max="2588" width="4.08984375" style="2016" customWidth="1"/>
    <col min="2589" max="2590" width="6.08984375" style="2016" customWidth="1"/>
    <col min="2591" max="2816" width="8.7265625" style="2016"/>
    <col min="2817" max="2817" width="5.6328125" style="2016" customWidth="1"/>
    <col min="2818" max="2818" width="3" style="2016" customWidth="1"/>
    <col min="2819" max="2819" width="15.36328125" style="2016" customWidth="1"/>
    <col min="2820" max="2824" width="6.08984375" style="2016" customWidth="1"/>
    <col min="2825" max="2825" width="4.08984375" style="2016" customWidth="1"/>
    <col min="2826" max="2826" width="6.08984375" style="2016" customWidth="1"/>
    <col min="2827" max="2827" width="4.08984375" style="2016" customWidth="1"/>
    <col min="2828" max="2828" width="6.90625" style="2016" customWidth="1"/>
    <col min="2829" max="2832" width="6.08984375" style="2016" customWidth="1"/>
    <col min="2833" max="2833" width="4.08984375" style="2016" customWidth="1"/>
    <col min="2834" max="2834" width="6.08984375" style="2016" customWidth="1"/>
    <col min="2835" max="2835" width="4.08984375" style="2016" customWidth="1"/>
    <col min="2836" max="2836" width="6.08984375" style="2016" customWidth="1"/>
    <col min="2837" max="2837" width="4.08984375" style="2016" customWidth="1"/>
    <col min="2838" max="2838" width="6.08984375" style="2016" customWidth="1"/>
    <col min="2839" max="2839" width="4.08984375" style="2016" customWidth="1"/>
    <col min="2840" max="2841" width="6.08984375" style="2016" customWidth="1"/>
    <col min="2842" max="2842" width="4.26953125" style="2016" customWidth="1"/>
    <col min="2843" max="2843" width="6.08984375" style="2016" customWidth="1"/>
    <col min="2844" max="2844" width="4.08984375" style="2016" customWidth="1"/>
    <col min="2845" max="2846" width="6.08984375" style="2016" customWidth="1"/>
    <col min="2847" max="3072" width="8.7265625" style="2016"/>
    <col min="3073" max="3073" width="5.6328125" style="2016" customWidth="1"/>
    <col min="3074" max="3074" width="3" style="2016" customWidth="1"/>
    <col min="3075" max="3075" width="15.36328125" style="2016" customWidth="1"/>
    <col min="3076" max="3080" width="6.08984375" style="2016" customWidth="1"/>
    <col min="3081" max="3081" width="4.08984375" style="2016" customWidth="1"/>
    <col min="3082" max="3082" width="6.08984375" style="2016" customWidth="1"/>
    <col min="3083" max="3083" width="4.08984375" style="2016" customWidth="1"/>
    <col min="3084" max="3084" width="6.90625" style="2016" customWidth="1"/>
    <col min="3085" max="3088" width="6.08984375" style="2016" customWidth="1"/>
    <col min="3089" max="3089" width="4.08984375" style="2016" customWidth="1"/>
    <col min="3090" max="3090" width="6.08984375" style="2016" customWidth="1"/>
    <col min="3091" max="3091" width="4.08984375" style="2016" customWidth="1"/>
    <col min="3092" max="3092" width="6.08984375" style="2016" customWidth="1"/>
    <col min="3093" max="3093" width="4.08984375" style="2016" customWidth="1"/>
    <col min="3094" max="3094" width="6.08984375" style="2016" customWidth="1"/>
    <col min="3095" max="3095" width="4.08984375" style="2016" customWidth="1"/>
    <col min="3096" max="3097" width="6.08984375" style="2016" customWidth="1"/>
    <col min="3098" max="3098" width="4.26953125" style="2016" customWidth="1"/>
    <col min="3099" max="3099" width="6.08984375" style="2016" customWidth="1"/>
    <col min="3100" max="3100" width="4.08984375" style="2016" customWidth="1"/>
    <col min="3101" max="3102" width="6.08984375" style="2016" customWidth="1"/>
    <col min="3103" max="3328" width="8.7265625" style="2016"/>
    <col min="3329" max="3329" width="5.6328125" style="2016" customWidth="1"/>
    <col min="3330" max="3330" width="3" style="2016" customWidth="1"/>
    <col min="3331" max="3331" width="15.36328125" style="2016" customWidth="1"/>
    <col min="3332" max="3336" width="6.08984375" style="2016" customWidth="1"/>
    <col min="3337" max="3337" width="4.08984375" style="2016" customWidth="1"/>
    <col min="3338" max="3338" width="6.08984375" style="2016" customWidth="1"/>
    <col min="3339" max="3339" width="4.08984375" style="2016" customWidth="1"/>
    <col min="3340" max="3340" width="6.90625" style="2016" customWidth="1"/>
    <col min="3341" max="3344" width="6.08984375" style="2016" customWidth="1"/>
    <col min="3345" max="3345" width="4.08984375" style="2016" customWidth="1"/>
    <col min="3346" max="3346" width="6.08984375" style="2016" customWidth="1"/>
    <col min="3347" max="3347" width="4.08984375" style="2016" customWidth="1"/>
    <col min="3348" max="3348" width="6.08984375" style="2016" customWidth="1"/>
    <col min="3349" max="3349" width="4.08984375" style="2016" customWidth="1"/>
    <col min="3350" max="3350" width="6.08984375" style="2016" customWidth="1"/>
    <col min="3351" max="3351" width="4.08984375" style="2016" customWidth="1"/>
    <col min="3352" max="3353" width="6.08984375" style="2016" customWidth="1"/>
    <col min="3354" max="3354" width="4.26953125" style="2016" customWidth="1"/>
    <col min="3355" max="3355" width="6.08984375" style="2016" customWidth="1"/>
    <col min="3356" max="3356" width="4.08984375" style="2016" customWidth="1"/>
    <col min="3357" max="3358" width="6.08984375" style="2016" customWidth="1"/>
    <col min="3359" max="3584" width="8.7265625" style="2016"/>
    <col min="3585" max="3585" width="5.6328125" style="2016" customWidth="1"/>
    <col min="3586" max="3586" width="3" style="2016" customWidth="1"/>
    <col min="3587" max="3587" width="15.36328125" style="2016" customWidth="1"/>
    <col min="3588" max="3592" width="6.08984375" style="2016" customWidth="1"/>
    <col min="3593" max="3593" width="4.08984375" style="2016" customWidth="1"/>
    <col min="3594" max="3594" width="6.08984375" style="2016" customWidth="1"/>
    <col min="3595" max="3595" width="4.08984375" style="2016" customWidth="1"/>
    <col min="3596" max="3596" width="6.90625" style="2016" customWidth="1"/>
    <col min="3597" max="3600" width="6.08984375" style="2016" customWidth="1"/>
    <col min="3601" max="3601" width="4.08984375" style="2016" customWidth="1"/>
    <col min="3602" max="3602" width="6.08984375" style="2016" customWidth="1"/>
    <col min="3603" max="3603" width="4.08984375" style="2016" customWidth="1"/>
    <col min="3604" max="3604" width="6.08984375" style="2016" customWidth="1"/>
    <col min="3605" max="3605" width="4.08984375" style="2016" customWidth="1"/>
    <col min="3606" max="3606" width="6.08984375" style="2016" customWidth="1"/>
    <col min="3607" max="3607" width="4.08984375" style="2016" customWidth="1"/>
    <col min="3608" max="3609" width="6.08984375" style="2016" customWidth="1"/>
    <col min="3610" max="3610" width="4.26953125" style="2016" customWidth="1"/>
    <col min="3611" max="3611" width="6.08984375" style="2016" customWidth="1"/>
    <col min="3612" max="3612" width="4.08984375" style="2016" customWidth="1"/>
    <col min="3613" max="3614" width="6.08984375" style="2016" customWidth="1"/>
    <col min="3615" max="3840" width="8.7265625" style="2016"/>
    <col min="3841" max="3841" width="5.6328125" style="2016" customWidth="1"/>
    <col min="3842" max="3842" width="3" style="2016" customWidth="1"/>
    <col min="3843" max="3843" width="15.36328125" style="2016" customWidth="1"/>
    <col min="3844" max="3848" width="6.08984375" style="2016" customWidth="1"/>
    <col min="3849" max="3849" width="4.08984375" style="2016" customWidth="1"/>
    <col min="3850" max="3850" width="6.08984375" style="2016" customWidth="1"/>
    <col min="3851" max="3851" width="4.08984375" style="2016" customWidth="1"/>
    <col min="3852" max="3852" width="6.90625" style="2016" customWidth="1"/>
    <col min="3853" max="3856" width="6.08984375" style="2016" customWidth="1"/>
    <col min="3857" max="3857" width="4.08984375" style="2016" customWidth="1"/>
    <col min="3858" max="3858" width="6.08984375" style="2016" customWidth="1"/>
    <col min="3859" max="3859" width="4.08984375" style="2016" customWidth="1"/>
    <col min="3860" max="3860" width="6.08984375" style="2016" customWidth="1"/>
    <col min="3861" max="3861" width="4.08984375" style="2016" customWidth="1"/>
    <col min="3862" max="3862" width="6.08984375" style="2016" customWidth="1"/>
    <col min="3863" max="3863" width="4.08984375" style="2016" customWidth="1"/>
    <col min="3864" max="3865" width="6.08984375" style="2016" customWidth="1"/>
    <col min="3866" max="3866" width="4.26953125" style="2016" customWidth="1"/>
    <col min="3867" max="3867" width="6.08984375" style="2016" customWidth="1"/>
    <col min="3868" max="3868" width="4.08984375" style="2016" customWidth="1"/>
    <col min="3869" max="3870" width="6.08984375" style="2016" customWidth="1"/>
    <col min="3871" max="4096" width="8.7265625" style="2016"/>
    <col min="4097" max="4097" width="5.6328125" style="2016" customWidth="1"/>
    <col min="4098" max="4098" width="3" style="2016" customWidth="1"/>
    <col min="4099" max="4099" width="15.36328125" style="2016" customWidth="1"/>
    <col min="4100" max="4104" width="6.08984375" style="2016" customWidth="1"/>
    <col min="4105" max="4105" width="4.08984375" style="2016" customWidth="1"/>
    <col min="4106" max="4106" width="6.08984375" style="2016" customWidth="1"/>
    <col min="4107" max="4107" width="4.08984375" style="2016" customWidth="1"/>
    <col min="4108" max="4108" width="6.90625" style="2016" customWidth="1"/>
    <col min="4109" max="4112" width="6.08984375" style="2016" customWidth="1"/>
    <col min="4113" max="4113" width="4.08984375" style="2016" customWidth="1"/>
    <col min="4114" max="4114" width="6.08984375" style="2016" customWidth="1"/>
    <col min="4115" max="4115" width="4.08984375" style="2016" customWidth="1"/>
    <col min="4116" max="4116" width="6.08984375" style="2016" customWidth="1"/>
    <col min="4117" max="4117" width="4.08984375" style="2016" customWidth="1"/>
    <col min="4118" max="4118" width="6.08984375" style="2016" customWidth="1"/>
    <col min="4119" max="4119" width="4.08984375" style="2016" customWidth="1"/>
    <col min="4120" max="4121" width="6.08984375" style="2016" customWidth="1"/>
    <col min="4122" max="4122" width="4.26953125" style="2016" customWidth="1"/>
    <col min="4123" max="4123" width="6.08984375" style="2016" customWidth="1"/>
    <col min="4124" max="4124" width="4.08984375" style="2016" customWidth="1"/>
    <col min="4125" max="4126" width="6.08984375" style="2016" customWidth="1"/>
    <col min="4127" max="4352" width="8.7265625" style="2016"/>
    <col min="4353" max="4353" width="5.6328125" style="2016" customWidth="1"/>
    <col min="4354" max="4354" width="3" style="2016" customWidth="1"/>
    <col min="4355" max="4355" width="15.36328125" style="2016" customWidth="1"/>
    <col min="4356" max="4360" width="6.08984375" style="2016" customWidth="1"/>
    <col min="4361" max="4361" width="4.08984375" style="2016" customWidth="1"/>
    <col min="4362" max="4362" width="6.08984375" style="2016" customWidth="1"/>
    <col min="4363" max="4363" width="4.08984375" style="2016" customWidth="1"/>
    <col min="4364" max="4364" width="6.90625" style="2016" customWidth="1"/>
    <col min="4365" max="4368" width="6.08984375" style="2016" customWidth="1"/>
    <col min="4369" max="4369" width="4.08984375" style="2016" customWidth="1"/>
    <col min="4370" max="4370" width="6.08984375" style="2016" customWidth="1"/>
    <col min="4371" max="4371" width="4.08984375" style="2016" customWidth="1"/>
    <col min="4372" max="4372" width="6.08984375" style="2016" customWidth="1"/>
    <col min="4373" max="4373" width="4.08984375" style="2016" customWidth="1"/>
    <col min="4374" max="4374" width="6.08984375" style="2016" customWidth="1"/>
    <col min="4375" max="4375" width="4.08984375" style="2016" customWidth="1"/>
    <col min="4376" max="4377" width="6.08984375" style="2016" customWidth="1"/>
    <col min="4378" max="4378" width="4.26953125" style="2016" customWidth="1"/>
    <col min="4379" max="4379" width="6.08984375" style="2016" customWidth="1"/>
    <col min="4380" max="4380" width="4.08984375" style="2016" customWidth="1"/>
    <col min="4381" max="4382" width="6.08984375" style="2016" customWidth="1"/>
    <col min="4383" max="4608" width="8.7265625" style="2016"/>
    <col min="4609" max="4609" width="5.6328125" style="2016" customWidth="1"/>
    <col min="4610" max="4610" width="3" style="2016" customWidth="1"/>
    <col min="4611" max="4611" width="15.36328125" style="2016" customWidth="1"/>
    <col min="4612" max="4616" width="6.08984375" style="2016" customWidth="1"/>
    <col min="4617" max="4617" width="4.08984375" style="2016" customWidth="1"/>
    <col min="4618" max="4618" width="6.08984375" style="2016" customWidth="1"/>
    <col min="4619" max="4619" width="4.08984375" style="2016" customWidth="1"/>
    <col min="4620" max="4620" width="6.90625" style="2016" customWidth="1"/>
    <col min="4621" max="4624" width="6.08984375" style="2016" customWidth="1"/>
    <col min="4625" max="4625" width="4.08984375" style="2016" customWidth="1"/>
    <col min="4626" max="4626" width="6.08984375" style="2016" customWidth="1"/>
    <col min="4627" max="4627" width="4.08984375" style="2016" customWidth="1"/>
    <col min="4628" max="4628" width="6.08984375" style="2016" customWidth="1"/>
    <col min="4629" max="4629" width="4.08984375" style="2016" customWidth="1"/>
    <col min="4630" max="4630" width="6.08984375" style="2016" customWidth="1"/>
    <col min="4631" max="4631" width="4.08984375" style="2016" customWidth="1"/>
    <col min="4632" max="4633" width="6.08984375" style="2016" customWidth="1"/>
    <col min="4634" max="4634" width="4.26953125" style="2016" customWidth="1"/>
    <col min="4635" max="4635" width="6.08984375" style="2016" customWidth="1"/>
    <col min="4636" max="4636" width="4.08984375" style="2016" customWidth="1"/>
    <col min="4637" max="4638" width="6.08984375" style="2016" customWidth="1"/>
    <col min="4639" max="4864" width="8.7265625" style="2016"/>
    <col min="4865" max="4865" width="5.6328125" style="2016" customWidth="1"/>
    <col min="4866" max="4866" width="3" style="2016" customWidth="1"/>
    <col min="4867" max="4867" width="15.36328125" style="2016" customWidth="1"/>
    <col min="4868" max="4872" width="6.08984375" style="2016" customWidth="1"/>
    <col min="4873" max="4873" width="4.08984375" style="2016" customWidth="1"/>
    <col min="4874" max="4874" width="6.08984375" style="2016" customWidth="1"/>
    <col min="4875" max="4875" width="4.08984375" style="2016" customWidth="1"/>
    <col min="4876" max="4876" width="6.90625" style="2016" customWidth="1"/>
    <col min="4877" max="4880" width="6.08984375" style="2016" customWidth="1"/>
    <col min="4881" max="4881" width="4.08984375" style="2016" customWidth="1"/>
    <col min="4882" max="4882" width="6.08984375" style="2016" customWidth="1"/>
    <col min="4883" max="4883" width="4.08984375" style="2016" customWidth="1"/>
    <col min="4884" max="4884" width="6.08984375" style="2016" customWidth="1"/>
    <col min="4885" max="4885" width="4.08984375" style="2016" customWidth="1"/>
    <col min="4886" max="4886" width="6.08984375" style="2016" customWidth="1"/>
    <col min="4887" max="4887" width="4.08984375" style="2016" customWidth="1"/>
    <col min="4888" max="4889" width="6.08984375" style="2016" customWidth="1"/>
    <col min="4890" max="4890" width="4.26953125" style="2016" customWidth="1"/>
    <col min="4891" max="4891" width="6.08984375" style="2016" customWidth="1"/>
    <col min="4892" max="4892" width="4.08984375" style="2016" customWidth="1"/>
    <col min="4893" max="4894" width="6.08984375" style="2016" customWidth="1"/>
    <col min="4895" max="5120" width="8.7265625" style="2016"/>
    <col min="5121" max="5121" width="5.6328125" style="2016" customWidth="1"/>
    <col min="5122" max="5122" width="3" style="2016" customWidth="1"/>
    <col min="5123" max="5123" width="15.36328125" style="2016" customWidth="1"/>
    <col min="5124" max="5128" width="6.08984375" style="2016" customWidth="1"/>
    <col min="5129" max="5129" width="4.08984375" style="2016" customWidth="1"/>
    <col min="5130" max="5130" width="6.08984375" style="2016" customWidth="1"/>
    <col min="5131" max="5131" width="4.08984375" style="2016" customWidth="1"/>
    <col min="5132" max="5132" width="6.90625" style="2016" customWidth="1"/>
    <col min="5133" max="5136" width="6.08984375" style="2016" customWidth="1"/>
    <col min="5137" max="5137" width="4.08984375" style="2016" customWidth="1"/>
    <col min="5138" max="5138" width="6.08984375" style="2016" customWidth="1"/>
    <col min="5139" max="5139" width="4.08984375" style="2016" customWidth="1"/>
    <col min="5140" max="5140" width="6.08984375" style="2016" customWidth="1"/>
    <col min="5141" max="5141" width="4.08984375" style="2016" customWidth="1"/>
    <col min="5142" max="5142" width="6.08984375" style="2016" customWidth="1"/>
    <col min="5143" max="5143" width="4.08984375" style="2016" customWidth="1"/>
    <col min="5144" max="5145" width="6.08984375" style="2016" customWidth="1"/>
    <col min="5146" max="5146" width="4.26953125" style="2016" customWidth="1"/>
    <col min="5147" max="5147" width="6.08984375" style="2016" customWidth="1"/>
    <col min="5148" max="5148" width="4.08984375" style="2016" customWidth="1"/>
    <col min="5149" max="5150" width="6.08984375" style="2016" customWidth="1"/>
    <col min="5151" max="5376" width="8.7265625" style="2016"/>
    <col min="5377" max="5377" width="5.6328125" style="2016" customWidth="1"/>
    <col min="5378" max="5378" width="3" style="2016" customWidth="1"/>
    <col min="5379" max="5379" width="15.36328125" style="2016" customWidth="1"/>
    <col min="5380" max="5384" width="6.08984375" style="2016" customWidth="1"/>
    <col min="5385" max="5385" width="4.08984375" style="2016" customWidth="1"/>
    <col min="5386" max="5386" width="6.08984375" style="2016" customWidth="1"/>
    <col min="5387" max="5387" width="4.08984375" style="2016" customWidth="1"/>
    <col min="5388" max="5388" width="6.90625" style="2016" customWidth="1"/>
    <col min="5389" max="5392" width="6.08984375" style="2016" customWidth="1"/>
    <col min="5393" max="5393" width="4.08984375" style="2016" customWidth="1"/>
    <col min="5394" max="5394" width="6.08984375" style="2016" customWidth="1"/>
    <col min="5395" max="5395" width="4.08984375" style="2016" customWidth="1"/>
    <col min="5396" max="5396" width="6.08984375" style="2016" customWidth="1"/>
    <col min="5397" max="5397" width="4.08984375" style="2016" customWidth="1"/>
    <col min="5398" max="5398" width="6.08984375" style="2016" customWidth="1"/>
    <col min="5399" max="5399" width="4.08984375" style="2016" customWidth="1"/>
    <col min="5400" max="5401" width="6.08984375" style="2016" customWidth="1"/>
    <col min="5402" max="5402" width="4.26953125" style="2016" customWidth="1"/>
    <col min="5403" max="5403" width="6.08984375" style="2016" customWidth="1"/>
    <col min="5404" max="5404" width="4.08984375" style="2016" customWidth="1"/>
    <col min="5405" max="5406" width="6.08984375" style="2016" customWidth="1"/>
    <col min="5407" max="5632" width="8.7265625" style="2016"/>
    <col min="5633" max="5633" width="5.6328125" style="2016" customWidth="1"/>
    <col min="5634" max="5634" width="3" style="2016" customWidth="1"/>
    <col min="5635" max="5635" width="15.36328125" style="2016" customWidth="1"/>
    <col min="5636" max="5640" width="6.08984375" style="2016" customWidth="1"/>
    <col min="5641" max="5641" width="4.08984375" style="2016" customWidth="1"/>
    <col min="5642" max="5642" width="6.08984375" style="2016" customWidth="1"/>
    <col min="5643" max="5643" width="4.08984375" style="2016" customWidth="1"/>
    <col min="5644" max="5644" width="6.90625" style="2016" customWidth="1"/>
    <col min="5645" max="5648" width="6.08984375" style="2016" customWidth="1"/>
    <col min="5649" max="5649" width="4.08984375" style="2016" customWidth="1"/>
    <col min="5650" max="5650" width="6.08984375" style="2016" customWidth="1"/>
    <col min="5651" max="5651" width="4.08984375" style="2016" customWidth="1"/>
    <col min="5652" max="5652" width="6.08984375" style="2016" customWidth="1"/>
    <col min="5653" max="5653" width="4.08984375" style="2016" customWidth="1"/>
    <col min="5654" max="5654" width="6.08984375" style="2016" customWidth="1"/>
    <col min="5655" max="5655" width="4.08984375" style="2016" customWidth="1"/>
    <col min="5656" max="5657" width="6.08984375" style="2016" customWidth="1"/>
    <col min="5658" max="5658" width="4.26953125" style="2016" customWidth="1"/>
    <col min="5659" max="5659" width="6.08984375" style="2016" customWidth="1"/>
    <col min="5660" max="5660" width="4.08984375" style="2016" customWidth="1"/>
    <col min="5661" max="5662" width="6.08984375" style="2016" customWidth="1"/>
    <col min="5663" max="5888" width="8.7265625" style="2016"/>
    <col min="5889" max="5889" width="5.6328125" style="2016" customWidth="1"/>
    <col min="5890" max="5890" width="3" style="2016" customWidth="1"/>
    <col min="5891" max="5891" width="15.36328125" style="2016" customWidth="1"/>
    <col min="5892" max="5896" width="6.08984375" style="2016" customWidth="1"/>
    <col min="5897" max="5897" width="4.08984375" style="2016" customWidth="1"/>
    <col min="5898" max="5898" width="6.08984375" style="2016" customWidth="1"/>
    <col min="5899" max="5899" width="4.08984375" style="2016" customWidth="1"/>
    <col min="5900" max="5900" width="6.90625" style="2016" customWidth="1"/>
    <col min="5901" max="5904" width="6.08984375" style="2016" customWidth="1"/>
    <col min="5905" max="5905" width="4.08984375" style="2016" customWidth="1"/>
    <col min="5906" max="5906" width="6.08984375" style="2016" customWidth="1"/>
    <col min="5907" max="5907" width="4.08984375" style="2016" customWidth="1"/>
    <col min="5908" max="5908" width="6.08984375" style="2016" customWidth="1"/>
    <col min="5909" max="5909" width="4.08984375" style="2016" customWidth="1"/>
    <col min="5910" max="5910" width="6.08984375" style="2016" customWidth="1"/>
    <col min="5911" max="5911" width="4.08984375" style="2016" customWidth="1"/>
    <col min="5912" max="5913" width="6.08984375" style="2016" customWidth="1"/>
    <col min="5914" max="5914" width="4.26953125" style="2016" customWidth="1"/>
    <col min="5915" max="5915" width="6.08984375" style="2016" customWidth="1"/>
    <col min="5916" max="5916" width="4.08984375" style="2016" customWidth="1"/>
    <col min="5917" max="5918" width="6.08984375" style="2016" customWidth="1"/>
    <col min="5919" max="6144" width="8.7265625" style="2016"/>
    <col min="6145" max="6145" width="5.6328125" style="2016" customWidth="1"/>
    <col min="6146" max="6146" width="3" style="2016" customWidth="1"/>
    <col min="6147" max="6147" width="15.36328125" style="2016" customWidth="1"/>
    <col min="6148" max="6152" width="6.08984375" style="2016" customWidth="1"/>
    <col min="6153" max="6153" width="4.08984375" style="2016" customWidth="1"/>
    <col min="6154" max="6154" width="6.08984375" style="2016" customWidth="1"/>
    <col min="6155" max="6155" width="4.08984375" style="2016" customWidth="1"/>
    <col min="6156" max="6156" width="6.90625" style="2016" customWidth="1"/>
    <col min="6157" max="6160" width="6.08984375" style="2016" customWidth="1"/>
    <col min="6161" max="6161" width="4.08984375" style="2016" customWidth="1"/>
    <col min="6162" max="6162" width="6.08984375" style="2016" customWidth="1"/>
    <col min="6163" max="6163" width="4.08984375" style="2016" customWidth="1"/>
    <col min="6164" max="6164" width="6.08984375" style="2016" customWidth="1"/>
    <col min="6165" max="6165" width="4.08984375" style="2016" customWidth="1"/>
    <col min="6166" max="6166" width="6.08984375" style="2016" customWidth="1"/>
    <col min="6167" max="6167" width="4.08984375" style="2016" customWidth="1"/>
    <col min="6168" max="6169" width="6.08984375" style="2016" customWidth="1"/>
    <col min="6170" max="6170" width="4.26953125" style="2016" customWidth="1"/>
    <col min="6171" max="6171" width="6.08984375" style="2016" customWidth="1"/>
    <col min="6172" max="6172" width="4.08984375" style="2016" customWidth="1"/>
    <col min="6173" max="6174" width="6.08984375" style="2016" customWidth="1"/>
    <col min="6175" max="6400" width="8.7265625" style="2016"/>
    <col min="6401" max="6401" width="5.6328125" style="2016" customWidth="1"/>
    <col min="6402" max="6402" width="3" style="2016" customWidth="1"/>
    <col min="6403" max="6403" width="15.36328125" style="2016" customWidth="1"/>
    <col min="6404" max="6408" width="6.08984375" style="2016" customWidth="1"/>
    <col min="6409" max="6409" width="4.08984375" style="2016" customWidth="1"/>
    <col min="6410" max="6410" width="6.08984375" style="2016" customWidth="1"/>
    <col min="6411" max="6411" width="4.08984375" style="2016" customWidth="1"/>
    <col min="6412" max="6412" width="6.90625" style="2016" customWidth="1"/>
    <col min="6413" max="6416" width="6.08984375" style="2016" customWidth="1"/>
    <col min="6417" max="6417" width="4.08984375" style="2016" customWidth="1"/>
    <col min="6418" max="6418" width="6.08984375" style="2016" customWidth="1"/>
    <col min="6419" max="6419" width="4.08984375" style="2016" customWidth="1"/>
    <col min="6420" max="6420" width="6.08984375" style="2016" customWidth="1"/>
    <col min="6421" max="6421" width="4.08984375" style="2016" customWidth="1"/>
    <col min="6422" max="6422" width="6.08984375" style="2016" customWidth="1"/>
    <col min="6423" max="6423" width="4.08984375" style="2016" customWidth="1"/>
    <col min="6424" max="6425" width="6.08984375" style="2016" customWidth="1"/>
    <col min="6426" max="6426" width="4.26953125" style="2016" customWidth="1"/>
    <col min="6427" max="6427" width="6.08984375" style="2016" customWidth="1"/>
    <col min="6428" max="6428" width="4.08984375" style="2016" customWidth="1"/>
    <col min="6429" max="6430" width="6.08984375" style="2016" customWidth="1"/>
    <col min="6431" max="6656" width="8.7265625" style="2016"/>
    <col min="6657" max="6657" width="5.6328125" style="2016" customWidth="1"/>
    <col min="6658" max="6658" width="3" style="2016" customWidth="1"/>
    <col min="6659" max="6659" width="15.36328125" style="2016" customWidth="1"/>
    <col min="6660" max="6664" width="6.08984375" style="2016" customWidth="1"/>
    <col min="6665" max="6665" width="4.08984375" style="2016" customWidth="1"/>
    <col min="6666" max="6666" width="6.08984375" style="2016" customWidth="1"/>
    <col min="6667" max="6667" width="4.08984375" style="2016" customWidth="1"/>
    <col min="6668" max="6668" width="6.90625" style="2016" customWidth="1"/>
    <col min="6669" max="6672" width="6.08984375" style="2016" customWidth="1"/>
    <col min="6673" max="6673" width="4.08984375" style="2016" customWidth="1"/>
    <col min="6674" max="6674" width="6.08984375" style="2016" customWidth="1"/>
    <col min="6675" max="6675" width="4.08984375" style="2016" customWidth="1"/>
    <col min="6676" max="6676" width="6.08984375" style="2016" customWidth="1"/>
    <col min="6677" max="6677" width="4.08984375" style="2016" customWidth="1"/>
    <col min="6678" max="6678" width="6.08984375" style="2016" customWidth="1"/>
    <col min="6679" max="6679" width="4.08984375" style="2016" customWidth="1"/>
    <col min="6680" max="6681" width="6.08984375" style="2016" customWidth="1"/>
    <col min="6682" max="6682" width="4.26953125" style="2016" customWidth="1"/>
    <col min="6683" max="6683" width="6.08984375" style="2016" customWidth="1"/>
    <col min="6684" max="6684" width="4.08984375" style="2016" customWidth="1"/>
    <col min="6685" max="6686" width="6.08984375" style="2016" customWidth="1"/>
    <col min="6687" max="6912" width="8.7265625" style="2016"/>
    <col min="6913" max="6913" width="5.6328125" style="2016" customWidth="1"/>
    <col min="6914" max="6914" width="3" style="2016" customWidth="1"/>
    <col min="6915" max="6915" width="15.36328125" style="2016" customWidth="1"/>
    <col min="6916" max="6920" width="6.08984375" style="2016" customWidth="1"/>
    <col min="6921" max="6921" width="4.08984375" style="2016" customWidth="1"/>
    <col min="6922" max="6922" width="6.08984375" style="2016" customWidth="1"/>
    <col min="6923" max="6923" width="4.08984375" style="2016" customWidth="1"/>
    <col min="6924" max="6924" width="6.90625" style="2016" customWidth="1"/>
    <col min="6925" max="6928" width="6.08984375" style="2016" customWidth="1"/>
    <col min="6929" max="6929" width="4.08984375" style="2016" customWidth="1"/>
    <col min="6930" max="6930" width="6.08984375" style="2016" customWidth="1"/>
    <col min="6931" max="6931" width="4.08984375" style="2016" customWidth="1"/>
    <col min="6932" max="6932" width="6.08984375" style="2016" customWidth="1"/>
    <col min="6933" max="6933" width="4.08984375" style="2016" customWidth="1"/>
    <col min="6934" max="6934" width="6.08984375" style="2016" customWidth="1"/>
    <col min="6935" max="6935" width="4.08984375" style="2016" customWidth="1"/>
    <col min="6936" max="6937" width="6.08984375" style="2016" customWidth="1"/>
    <col min="6938" max="6938" width="4.26953125" style="2016" customWidth="1"/>
    <col min="6939" max="6939" width="6.08984375" style="2016" customWidth="1"/>
    <col min="6940" max="6940" width="4.08984375" style="2016" customWidth="1"/>
    <col min="6941" max="6942" width="6.08984375" style="2016" customWidth="1"/>
    <col min="6943" max="7168" width="8.7265625" style="2016"/>
    <col min="7169" max="7169" width="5.6328125" style="2016" customWidth="1"/>
    <col min="7170" max="7170" width="3" style="2016" customWidth="1"/>
    <col min="7171" max="7171" width="15.36328125" style="2016" customWidth="1"/>
    <col min="7172" max="7176" width="6.08984375" style="2016" customWidth="1"/>
    <col min="7177" max="7177" width="4.08984375" style="2016" customWidth="1"/>
    <col min="7178" max="7178" width="6.08984375" style="2016" customWidth="1"/>
    <col min="7179" max="7179" width="4.08984375" style="2016" customWidth="1"/>
    <col min="7180" max="7180" width="6.90625" style="2016" customWidth="1"/>
    <col min="7181" max="7184" width="6.08984375" style="2016" customWidth="1"/>
    <col min="7185" max="7185" width="4.08984375" style="2016" customWidth="1"/>
    <col min="7186" max="7186" width="6.08984375" style="2016" customWidth="1"/>
    <col min="7187" max="7187" width="4.08984375" style="2016" customWidth="1"/>
    <col min="7188" max="7188" width="6.08984375" style="2016" customWidth="1"/>
    <col min="7189" max="7189" width="4.08984375" style="2016" customWidth="1"/>
    <col min="7190" max="7190" width="6.08984375" style="2016" customWidth="1"/>
    <col min="7191" max="7191" width="4.08984375" style="2016" customWidth="1"/>
    <col min="7192" max="7193" width="6.08984375" style="2016" customWidth="1"/>
    <col min="7194" max="7194" width="4.26953125" style="2016" customWidth="1"/>
    <col min="7195" max="7195" width="6.08984375" style="2016" customWidth="1"/>
    <col min="7196" max="7196" width="4.08984375" style="2016" customWidth="1"/>
    <col min="7197" max="7198" width="6.08984375" style="2016" customWidth="1"/>
    <col min="7199" max="7424" width="8.7265625" style="2016"/>
    <col min="7425" max="7425" width="5.6328125" style="2016" customWidth="1"/>
    <col min="7426" max="7426" width="3" style="2016" customWidth="1"/>
    <col min="7427" max="7427" width="15.36328125" style="2016" customWidth="1"/>
    <col min="7428" max="7432" width="6.08984375" style="2016" customWidth="1"/>
    <col min="7433" max="7433" width="4.08984375" style="2016" customWidth="1"/>
    <col min="7434" max="7434" width="6.08984375" style="2016" customWidth="1"/>
    <col min="7435" max="7435" width="4.08984375" style="2016" customWidth="1"/>
    <col min="7436" max="7436" width="6.90625" style="2016" customWidth="1"/>
    <col min="7437" max="7440" width="6.08984375" style="2016" customWidth="1"/>
    <col min="7441" max="7441" width="4.08984375" style="2016" customWidth="1"/>
    <col min="7442" max="7442" width="6.08984375" style="2016" customWidth="1"/>
    <col min="7443" max="7443" width="4.08984375" style="2016" customWidth="1"/>
    <col min="7444" max="7444" width="6.08984375" style="2016" customWidth="1"/>
    <col min="7445" max="7445" width="4.08984375" style="2016" customWidth="1"/>
    <col min="7446" max="7446" width="6.08984375" style="2016" customWidth="1"/>
    <col min="7447" max="7447" width="4.08984375" style="2016" customWidth="1"/>
    <col min="7448" max="7449" width="6.08984375" style="2016" customWidth="1"/>
    <col min="7450" max="7450" width="4.26953125" style="2016" customWidth="1"/>
    <col min="7451" max="7451" width="6.08984375" style="2016" customWidth="1"/>
    <col min="7452" max="7452" width="4.08984375" style="2016" customWidth="1"/>
    <col min="7453" max="7454" width="6.08984375" style="2016" customWidth="1"/>
    <col min="7455" max="7680" width="8.7265625" style="2016"/>
    <col min="7681" max="7681" width="5.6328125" style="2016" customWidth="1"/>
    <col min="7682" max="7682" width="3" style="2016" customWidth="1"/>
    <col min="7683" max="7683" width="15.36328125" style="2016" customWidth="1"/>
    <col min="7684" max="7688" width="6.08984375" style="2016" customWidth="1"/>
    <col min="7689" max="7689" width="4.08984375" style="2016" customWidth="1"/>
    <col min="7690" max="7690" width="6.08984375" style="2016" customWidth="1"/>
    <col min="7691" max="7691" width="4.08984375" style="2016" customWidth="1"/>
    <col min="7692" max="7692" width="6.90625" style="2016" customWidth="1"/>
    <col min="7693" max="7696" width="6.08984375" style="2016" customWidth="1"/>
    <col min="7697" max="7697" width="4.08984375" style="2016" customWidth="1"/>
    <col min="7698" max="7698" width="6.08984375" style="2016" customWidth="1"/>
    <col min="7699" max="7699" width="4.08984375" style="2016" customWidth="1"/>
    <col min="7700" max="7700" width="6.08984375" style="2016" customWidth="1"/>
    <col min="7701" max="7701" width="4.08984375" style="2016" customWidth="1"/>
    <col min="7702" max="7702" width="6.08984375" style="2016" customWidth="1"/>
    <col min="7703" max="7703" width="4.08984375" style="2016" customWidth="1"/>
    <col min="7704" max="7705" width="6.08984375" style="2016" customWidth="1"/>
    <col min="7706" max="7706" width="4.26953125" style="2016" customWidth="1"/>
    <col min="7707" max="7707" width="6.08984375" style="2016" customWidth="1"/>
    <col min="7708" max="7708" width="4.08984375" style="2016" customWidth="1"/>
    <col min="7709" max="7710" width="6.08984375" style="2016" customWidth="1"/>
    <col min="7711" max="7936" width="8.7265625" style="2016"/>
    <col min="7937" max="7937" width="5.6328125" style="2016" customWidth="1"/>
    <col min="7938" max="7938" width="3" style="2016" customWidth="1"/>
    <col min="7939" max="7939" width="15.36328125" style="2016" customWidth="1"/>
    <col min="7940" max="7944" width="6.08984375" style="2016" customWidth="1"/>
    <col min="7945" max="7945" width="4.08984375" style="2016" customWidth="1"/>
    <col min="7946" max="7946" width="6.08984375" style="2016" customWidth="1"/>
    <col min="7947" max="7947" width="4.08984375" style="2016" customWidth="1"/>
    <col min="7948" max="7948" width="6.90625" style="2016" customWidth="1"/>
    <col min="7949" max="7952" width="6.08984375" style="2016" customWidth="1"/>
    <col min="7953" max="7953" width="4.08984375" style="2016" customWidth="1"/>
    <col min="7954" max="7954" width="6.08984375" style="2016" customWidth="1"/>
    <col min="7955" max="7955" width="4.08984375" style="2016" customWidth="1"/>
    <col min="7956" max="7956" width="6.08984375" style="2016" customWidth="1"/>
    <col min="7957" max="7957" width="4.08984375" style="2016" customWidth="1"/>
    <col min="7958" max="7958" width="6.08984375" style="2016" customWidth="1"/>
    <col min="7959" max="7959" width="4.08984375" style="2016" customWidth="1"/>
    <col min="7960" max="7961" width="6.08984375" style="2016" customWidth="1"/>
    <col min="7962" max="7962" width="4.26953125" style="2016" customWidth="1"/>
    <col min="7963" max="7963" width="6.08984375" style="2016" customWidth="1"/>
    <col min="7964" max="7964" width="4.08984375" style="2016" customWidth="1"/>
    <col min="7965" max="7966" width="6.08984375" style="2016" customWidth="1"/>
    <col min="7967" max="8192" width="8.7265625" style="2016"/>
    <col min="8193" max="8193" width="5.6328125" style="2016" customWidth="1"/>
    <col min="8194" max="8194" width="3" style="2016" customWidth="1"/>
    <col min="8195" max="8195" width="15.36328125" style="2016" customWidth="1"/>
    <col min="8196" max="8200" width="6.08984375" style="2016" customWidth="1"/>
    <col min="8201" max="8201" width="4.08984375" style="2016" customWidth="1"/>
    <col min="8202" max="8202" width="6.08984375" style="2016" customWidth="1"/>
    <col min="8203" max="8203" width="4.08984375" style="2016" customWidth="1"/>
    <col min="8204" max="8204" width="6.90625" style="2016" customWidth="1"/>
    <col min="8205" max="8208" width="6.08984375" style="2016" customWidth="1"/>
    <col min="8209" max="8209" width="4.08984375" style="2016" customWidth="1"/>
    <col min="8210" max="8210" width="6.08984375" style="2016" customWidth="1"/>
    <col min="8211" max="8211" width="4.08984375" style="2016" customWidth="1"/>
    <col min="8212" max="8212" width="6.08984375" style="2016" customWidth="1"/>
    <col min="8213" max="8213" width="4.08984375" style="2016" customWidth="1"/>
    <col min="8214" max="8214" width="6.08984375" style="2016" customWidth="1"/>
    <col min="8215" max="8215" width="4.08984375" style="2016" customWidth="1"/>
    <col min="8216" max="8217" width="6.08984375" style="2016" customWidth="1"/>
    <col min="8218" max="8218" width="4.26953125" style="2016" customWidth="1"/>
    <col min="8219" max="8219" width="6.08984375" style="2016" customWidth="1"/>
    <col min="8220" max="8220" width="4.08984375" style="2016" customWidth="1"/>
    <col min="8221" max="8222" width="6.08984375" style="2016" customWidth="1"/>
    <col min="8223" max="8448" width="8.7265625" style="2016"/>
    <col min="8449" max="8449" width="5.6328125" style="2016" customWidth="1"/>
    <col min="8450" max="8450" width="3" style="2016" customWidth="1"/>
    <col min="8451" max="8451" width="15.36328125" style="2016" customWidth="1"/>
    <col min="8452" max="8456" width="6.08984375" style="2016" customWidth="1"/>
    <col min="8457" max="8457" width="4.08984375" style="2016" customWidth="1"/>
    <col min="8458" max="8458" width="6.08984375" style="2016" customWidth="1"/>
    <col min="8459" max="8459" width="4.08984375" style="2016" customWidth="1"/>
    <col min="8460" max="8460" width="6.90625" style="2016" customWidth="1"/>
    <col min="8461" max="8464" width="6.08984375" style="2016" customWidth="1"/>
    <col min="8465" max="8465" width="4.08984375" style="2016" customWidth="1"/>
    <col min="8466" max="8466" width="6.08984375" style="2016" customWidth="1"/>
    <col min="8467" max="8467" width="4.08984375" style="2016" customWidth="1"/>
    <col min="8468" max="8468" width="6.08984375" style="2016" customWidth="1"/>
    <col min="8469" max="8469" width="4.08984375" style="2016" customWidth="1"/>
    <col min="8470" max="8470" width="6.08984375" style="2016" customWidth="1"/>
    <col min="8471" max="8471" width="4.08984375" style="2016" customWidth="1"/>
    <col min="8472" max="8473" width="6.08984375" style="2016" customWidth="1"/>
    <col min="8474" max="8474" width="4.26953125" style="2016" customWidth="1"/>
    <col min="8475" max="8475" width="6.08984375" style="2016" customWidth="1"/>
    <col min="8476" max="8476" width="4.08984375" style="2016" customWidth="1"/>
    <col min="8477" max="8478" width="6.08984375" style="2016" customWidth="1"/>
    <col min="8479" max="8704" width="8.7265625" style="2016"/>
    <col min="8705" max="8705" width="5.6328125" style="2016" customWidth="1"/>
    <col min="8706" max="8706" width="3" style="2016" customWidth="1"/>
    <col min="8707" max="8707" width="15.36328125" style="2016" customWidth="1"/>
    <col min="8708" max="8712" width="6.08984375" style="2016" customWidth="1"/>
    <col min="8713" max="8713" width="4.08984375" style="2016" customWidth="1"/>
    <col min="8714" max="8714" width="6.08984375" style="2016" customWidth="1"/>
    <col min="8715" max="8715" width="4.08984375" style="2016" customWidth="1"/>
    <col min="8716" max="8716" width="6.90625" style="2016" customWidth="1"/>
    <col min="8717" max="8720" width="6.08984375" style="2016" customWidth="1"/>
    <col min="8721" max="8721" width="4.08984375" style="2016" customWidth="1"/>
    <col min="8722" max="8722" width="6.08984375" style="2016" customWidth="1"/>
    <col min="8723" max="8723" width="4.08984375" style="2016" customWidth="1"/>
    <col min="8724" max="8724" width="6.08984375" style="2016" customWidth="1"/>
    <col min="8725" max="8725" width="4.08984375" style="2016" customWidth="1"/>
    <col min="8726" max="8726" width="6.08984375" style="2016" customWidth="1"/>
    <col min="8727" max="8727" width="4.08984375" style="2016" customWidth="1"/>
    <col min="8728" max="8729" width="6.08984375" style="2016" customWidth="1"/>
    <col min="8730" max="8730" width="4.26953125" style="2016" customWidth="1"/>
    <col min="8731" max="8731" width="6.08984375" style="2016" customWidth="1"/>
    <col min="8732" max="8732" width="4.08984375" style="2016" customWidth="1"/>
    <col min="8733" max="8734" width="6.08984375" style="2016" customWidth="1"/>
    <col min="8735" max="8960" width="8.7265625" style="2016"/>
    <col min="8961" max="8961" width="5.6328125" style="2016" customWidth="1"/>
    <col min="8962" max="8962" width="3" style="2016" customWidth="1"/>
    <col min="8963" max="8963" width="15.36328125" style="2016" customWidth="1"/>
    <col min="8964" max="8968" width="6.08984375" style="2016" customWidth="1"/>
    <col min="8969" max="8969" width="4.08984375" style="2016" customWidth="1"/>
    <col min="8970" max="8970" width="6.08984375" style="2016" customWidth="1"/>
    <col min="8971" max="8971" width="4.08984375" style="2016" customWidth="1"/>
    <col min="8972" max="8972" width="6.90625" style="2016" customWidth="1"/>
    <col min="8973" max="8976" width="6.08984375" style="2016" customWidth="1"/>
    <col min="8977" max="8977" width="4.08984375" style="2016" customWidth="1"/>
    <col min="8978" max="8978" width="6.08984375" style="2016" customWidth="1"/>
    <col min="8979" max="8979" width="4.08984375" style="2016" customWidth="1"/>
    <col min="8980" max="8980" width="6.08984375" style="2016" customWidth="1"/>
    <col min="8981" max="8981" width="4.08984375" style="2016" customWidth="1"/>
    <col min="8982" max="8982" width="6.08984375" style="2016" customWidth="1"/>
    <col min="8983" max="8983" width="4.08984375" style="2016" customWidth="1"/>
    <col min="8984" max="8985" width="6.08984375" style="2016" customWidth="1"/>
    <col min="8986" max="8986" width="4.26953125" style="2016" customWidth="1"/>
    <col min="8987" max="8987" width="6.08984375" style="2016" customWidth="1"/>
    <col min="8988" max="8988" width="4.08984375" style="2016" customWidth="1"/>
    <col min="8989" max="8990" width="6.08984375" style="2016" customWidth="1"/>
    <col min="8991" max="9216" width="8.7265625" style="2016"/>
    <col min="9217" max="9217" width="5.6328125" style="2016" customWidth="1"/>
    <col min="9218" max="9218" width="3" style="2016" customWidth="1"/>
    <col min="9219" max="9219" width="15.36328125" style="2016" customWidth="1"/>
    <col min="9220" max="9224" width="6.08984375" style="2016" customWidth="1"/>
    <col min="9225" max="9225" width="4.08984375" style="2016" customWidth="1"/>
    <col min="9226" max="9226" width="6.08984375" style="2016" customWidth="1"/>
    <col min="9227" max="9227" width="4.08984375" style="2016" customWidth="1"/>
    <col min="9228" max="9228" width="6.90625" style="2016" customWidth="1"/>
    <col min="9229" max="9232" width="6.08984375" style="2016" customWidth="1"/>
    <col min="9233" max="9233" width="4.08984375" style="2016" customWidth="1"/>
    <col min="9234" max="9234" width="6.08984375" style="2016" customWidth="1"/>
    <col min="9235" max="9235" width="4.08984375" style="2016" customWidth="1"/>
    <col min="9236" max="9236" width="6.08984375" style="2016" customWidth="1"/>
    <col min="9237" max="9237" width="4.08984375" style="2016" customWidth="1"/>
    <col min="9238" max="9238" width="6.08984375" style="2016" customWidth="1"/>
    <col min="9239" max="9239" width="4.08984375" style="2016" customWidth="1"/>
    <col min="9240" max="9241" width="6.08984375" style="2016" customWidth="1"/>
    <col min="9242" max="9242" width="4.26953125" style="2016" customWidth="1"/>
    <col min="9243" max="9243" width="6.08984375" style="2016" customWidth="1"/>
    <col min="9244" max="9244" width="4.08984375" style="2016" customWidth="1"/>
    <col min="9245" max="9246" width="6.08984375" style="2016" customWidth="1"/>
    <col min="9247" max="9472" width="8.7265625" style="2016"/>
    <col min="9473" max="9473" width="5.6328125" style="2016" customWidth="1"/>
    <col min="9474" max="9474" width="3" style="2016" customWidth="1"/>
    <col min="9475" max="9475" width="15.36328125" style="2016" customWidth="1"/>
    <col min="9476" max="9480" width="6.08984375" style="2016" customWidth="1"/>
    <col min="9481" max="9481" width="4.08984375" style="2016" customWidth="1"/>
    <col min="9482" max="9482" width="6.08984375" style="2016" customWidth="1"/>
    <col min="9483" max="9483" width="4.08984375" style="2016" customWidth="1"/>
    <col min="9484" max="9484" width="6.90625" style="2016" customWidth="1"/>
    <col min="9485" max="9488" width="6.08984375" style="2016" customWidth="1"/>
    <col min="9489" max="9489" width="4.08984375" style="2016" customWidth="1"/>
    <col min="9490" max="9490" width="6.08984375" style="2016" customWidth="1"/>
    <col min="9491" max="9491" width="4.08984375" style="2016" customWidth="1"/>
    <col min="9492" max="9492" width="6.08984375" style="2016" customWidth="1"/>
    <col min="9493" max="9493" width="4.08984375" style="2016" customWidth="1"/>
    <col min="9494" max="9494" width="6.08984375" style="2016" customWidth="1"/>
    <col min="9495" max="9495" width="4.08984375" style="2016" customWidth="1"/>
    <col min="9496" max="9497" width="6.08984375" style="2016" customWidth="1"/>
    <col min="9498" max="9498" width="4.26953125" style="2016" customWidth="1"/>
    <col min="9499" max="9499" width="6.08984375" style="2016" customWidth="1"/>
    <col min="9500" max="9500" width="4.08984375" style="2016" customWidth="1"/>
    <col min="9501" max="9502" width="6.08984375" style="2016" customWidth="1"/>
    <col min="9503" max="9728" width="8.7265625" style="2016"/>
    <col min="9729" max="9729" width="5.6328125" style="2016" customWidth="1"/>
    <col min="9730" max="9730" width="3" style="2016" customWidth="1"/>
    <col min="9731" max="9731" width="15.36328125" style="2016" customWidth="1"/>
    <col min="9732" max="9736" width="6.08984375" style="2016" customWidth="1"/>
    <col min="9737" max="9737" width="4.08984375" style="2016" customWidth="1"/>
    <col min="9738" max="9738" width="6.08984375" style="2016" customWidth="1"/>
    <col min="9739" max="9739" width="4.08984375" style="2016" customWidth="1"/>
    <col min="9740" max="9740" width="6.90625" style="2016" customWidth="1"/>
    <col min="9741" max="9744" width="6.08984375" style="2016" customWidth="1"/>
    <col min="9745" max="9745" width="4.08984375" style="2016" customWidth="1"/>
    <col min="9746" max="9746" width="6.08984375" style="2016" customWidth="1"/>
    <col min="9747" max="9747" width="4.08984375" style="2016" customWidth="1"/>
    <col min="9748" max="9748" width="6.08984375" style="2016" customWidth="1"/>
    <col min="9749" max="9749" width="4.08984375" style="2016" customWidth="1"/>
    <col min="9750" max="9750" width="6.08984375" style="2016" customWidth="1"/>
    <col min="9751" max="9751" width="4.08984375" style="2016" customWidth="1"/>
    <col min="9752" max="9753" width="6.08984375" style="2016" customWidth="1"/>
    <col min="9754" max="9754" width="4.26953125" style="2016" customWidth="1"/>
    <col min="9755" max="9755" width="6.08984375" style="2016" customWidth="1"/>
    <col min="9756" max="9756" width="4.08984375" style="2016" customWidth="1"/>
    <col min="9757" max="9758" width="6.08984375" style="2016" customWidth="1"/>
    <col min="9759" max="9984" width="8.7265625" style="2016"/>
    <col min="9985" max="9985" width="5.6328125" style="2016" customWidth="1"/>
    <col min="9986" max="9986" width="3" style="2016" customWidth="1"/>
    <col min="9987" max="9987" width="15.36328125" style="2016" customWidth="1"/>
    <col min="9988" max="9992" width="6.08984375" style="2016" customWidth="1"/>
    <col min="9993" max="9993" width="4.08984375" style="2016" customWidth="1"/>
    <col min="9994" max="9994" width="6.08984375" style="2016" customWidth="1"/>
    <col min="9995" max="9995" width="4.08984375" style="2016" customWidth="1"/>
    <col min="9996" max="9996" width="6.90625" style="2016" customWidth="1"/>
    <col min="9997" max="10000" width="6.08984375" style="2016" customWidth="1"/>
    <col min="10001" max="10001" width="4.08984375" style="2016" customWidth="1"/>
    <col min="10002" max="10002" width="6.08984375" style="2016" customWidth="1"/>
    <col min="10003" max="10003" width="4.08984375" style="2016" customWidth="1"/>
    <col min="10004" max="10004" width="6.08984375" style="2016" customWidth="1"/>
    <col min="10005" max="10005" width="4.08984375" style="2016" customWidth="1"/>
    <col min="10006" max="10006" width="6.08984375" style="2016" customWidth="1"/>
    <col min="10007" max="10007" width="4.08984375" style="2016" customWidth="1"/>
    <col min="10008" max="10009" width="6.08984375" style="2016" customWidth="1"/>
    <col min="10010" max="10010" width="4.26953125" style="2016" customWidth="1"/>
    <col min="10011" max="10011" width="6.08984375" style="2016" customWidth="1"/>
    <col min="10012" max="10012" width="4.08984375" style="2016" customWidth="1"/>
    <col min="10013" max="10014" width="6.08984375" style="2016" customWidth="1"/>
    <col min="10015" max="10240" width="8.7265625" style="2016"/>
    <col min="10241" max="10241" width="5.6328125" style="2016" customWidth="1"/>
    <col min="10242" max="10242" width="3" style="2016" customWidth="1"/>
    <col min="10243" max="10243" width="15.36328125" style="2016" customWidth="1"/>
    <col min="10244" max="10248" width="6.08984375" style="2016" customWidth="1"/>
    <col min="10249" max="10249" width="4.08984375" style="2016" customWidth="1"/>
    <col min="10250" max="10250" width="6.08984375" style="2016" customWidth="1"/>
    <col min="10251" max="10251" width="4.08984375" style="2016" customWidth="1"/>
    <col min="10252" max="10252" width="6.90625" style="2016" customWidth="1"/>
    <col min="10253" max="10256" width="6.08984375" style="2016" customWidth="1"/>
    <col min="10257" max="10257" width="4.08984375" style="2016" customWidth="1"/>
    <col min="10258" max="10258" width="6.08984375" style="2016" customWidth="1"/>
    <col min="10259" max="10259" width="4.08984375" style="2016" customWidth="1"/>
    <col min="10260" max="10260" width="6.08984375" style="2016" customWidth="1"/>
    <col min="10261" max="10261" width="4.08984375" style="2016" customWidth="1"/>
    <col min="10262" max="10262" width="6.08984375" style="2016" customWidth="1"/>
    <col min="10263" max="10263" width="4.08984375" style="2016" customWidth="1"/>
    <col min="10264" max="10265" width="6.08984375" style="2016" customWidth="1"/>
    <col min="10266" max="10266" width="4.26953125" style="2016" customWidth="1"/>
    <col min="10267" max="10267" width="6.08984375" style="2016" customWidth="1"/>
    <col min="10268" max="10268" width="4.08984375" style="2016" customWidth="1"/>
    <col min="10269" max="10270" width="6.08984375" style="2016" customWidth="1"/>
    <col min="10271" max="10496" width="8.7265625" style="2016"/>
    <col min="10497" max="10497" width="5.6328125" style="2016" customWidth="1"/>
    <col min="10498" max="10498" width="3" style="2016" customWidth="1"/>
    <col min="10499" max="10499" width="15.36328125" style="2016" customWidth="1"/>
    <col min="10500" max="10504" width="6.08984375" style="2016" customWidth="1"/>
    <col min="10505" max="10505" width="4.08984375" style="2016" customWidth="1"/>
    <col min="10506" max="10506" width="6.08984375" style="2016" customWidth="1"/>
    <col min="10507" max="10507" width="4.08984375" style="2016" customWidth="1"/>
    <col min="10508" max="10508" width="6.90625" style="2016" customWidth="1"/>
    <col min="10509" max="10512" width="6.08984375" style="2016" customWidth="1"/>
    <col min="10513" max="10513" width="4.08984375" style="2016" customWidth="1"/>
    <col min="10514" max="10514" width="6.08984375" style="2016" customWidth="1"/>
    <col min="10515" max="10515" width="4.08984375" style="2016" customWidth="1"/>
    <col min="10516" max="10516" width="6.08984375" style="2016" customWidth="1"/>
    <col min="10517" max="10517" width="4.08984375" style="2016" customWidth="1"/>
    <col min="10518" max="10518" width="6.08984375" style="2016" customWidth="1"/>
    <col min="10519" max="10519" width="4.08984375" style="2016" customWidth="1"/>
    <col min="10520" max="10521" width="6.08984375" style="2016" customWidth="1"/>
    <col min="10522" max="10522" width="4.26953125" style="2016" customWidth="1"/>
    <col min="10523" max="10523" width="6.08984375" style="2016" customWidth="1"/>
    <col min="10524" max="10524" width="4.08984375" style="2016" customWidth="1"/>
    <col min="10525" max="10526" width="6.08984375" style="2016" customWidth="1"/>
    <col min="10527" max="10752" width="8.7265625" style="2016"/>
    <col min="10753" max="10753" width="5.6328125" style="2016" customWidth="1"/>
    <col min="10754" max="10754" width="3" style="2016" customWidth="1"/>
    <col min="10755" max="10755" width="15.36328125" style="2016" customWidth="1"/>
    <col min="10756" max="10760" width="6.08984375" style="2016" customWidth="1"/>
    <col min="10761" max="10761" width="4.08984375" style="2016" customWidth="1"/>
    <col min="10762" max="10762" width="6.08984375" style="2016" customWidth="1"/>
    <col min="10763" max="10763" width="4.08984375" style="2016" customWidth="1"/>
    <col min="10764" max="10764" width="6.90625" style="2016" customWidth="1"/>
    <col min="10765" max="10768" width="6.08984375" style="2016" customWidth="1"/>
    <col min="10769" max="10769" width="4.08984375" style="2016" customWidth="1"/>
    <col min="10770" max="10770" width="6.08984375" style="2016" customWidth="1"/>
    <col min="10771" max="10771" width="4.08984375" style="2016" customWidth="1"/>
    <col min="10772" max="10772" width="6.08984375" style="2016" customWidth="1"/>
    <col min="10773" max="10773" width="4.08984375" style="2016" customWidth="1"/>
    <col min="10774" max="10774" width="6.08984375" style="2016" customWidth="1"/>
    <col min="10775" max="10775" width="4.08984375" style="2016" customWidth="1"/>
    <col min="10776" max="10777" width="6.08984375" style="2016" customWidth="1"/>
    <col min="10778" max="10778" width="4.26953125" style="2016" customWidth="1"/>
    <col min="10779" max="10779" width="6.08984375" style="2016" customWidth="1"/>
    <col min="10780" max="10780" width="4.08984375" style="2016" customWidth="1"/>
    <col min="10781" max="10782" width="6.08984375" style="2016" customWidth="1"/>
    <col min="10783" max="11008" width="8.7265625" style="2016"/>
    <col min="11009" max="11009" width="5.6328125" style="2016" customWidth="1"/>
    <col min="11010" max="11010" width="3" style="2016" customWidth="1"/>
    <col min="11011" max="11011" width="15.36328125" style="2016" customWidth="1"/>
    <col min="11012" max="11016" width="6.08984375" style="2016" customWidth="1"/>
    <col min="11017" max="11017" width="4.08984375" style="2016" customWidth="1"/>
    <col min="11018" max="11018" width="6.08984375" style="2016" customWidth="1"/>
    <col min="11019" max="11019" width="4.08984375" style="2016" customWidth="1"/>
    <col min="11020" max="11020" width="6.90625" style="2016" customWidth="1"/>
    <col min="11021" max="11024" width="6.08984375" style="2016" customWidth="1"/>
    <col min="11025" max="11025" width="4.08984375" style="2016" customWidth="1"/>
    <col min="11026" max="11026" width="6.08984375" style="2016" customWidth="1"/>
    <col min="11027" max="11027" width="4.08984375" style="2016" customWidth="1"/>
    <col min="11028" max="11028" width="6.08984375" style="2016" customWidth="1"/>
    <col min="11029" max="11029" width="4.08984375" style="2016" customWidth="1"/>
    <col min="11030" max="11030" width="6.08984375" style="2016" customWidth="1"/>
    <col min="11031" max="11031" width="4.08984375" style="2016" customWidth="1"/>
    <col min="11032" max="11033" width="6.08984375" style="2016" customWidth="1"/>
    <col min="11034" max="11034" width="4.26953125" style="2016" customWidth="1"/>
    <col min="11035" max="11035" width="6.08984375" style="2016" customWidth="1"/>
    <col min="11036" max="11036" width="4.08984375" style="2016" customWidth="1"/>
    <col min="11037" max="11038" width="6.08984375" style="2016" customWidth="1"/>
    <col min="11039" max="11264" width="8.7265625" style="2016"/>
    <col min="11265" max="11265" width="5.6328125" style="2016" customWidth="1"/>
    <col min="11266" max="11266" width="3" style="2016" customWidth="1"/>
    <col min="11267" max="11267" width="15.36328125" style="2016" customWidth="1"/>
    <col min="11268" max="11272" width="6.08984375" style="2016" customWidth="1"/>
    <col min="11273" max="11273" width="4.08984375" style="2016" customWidth="1"/>
    <col min="11274" max="11274" width="6.08984375" style="2016" customWidth="1"/>
    <col min="11275" max="11275" width="4.08984375" style="2016" customWidth="1"/>
    <col min="11276" max="11276" width="6.90625" style="2016" customWidth="1"/>
    <col min="11277" max="11280" width="6.08984375" style="2016" customWidth="1"/>
    <col min="11281" max="11281" width="4.08984375" style="2016" customWidth="1"/>
    <col min="11282" max="11282" width="6.08984375" style="2016" customWidth="1"/>
    <col min="11283" max="11283" width="4.08984375" style="2016" customWidth="1"/>
    <col min="11284" max="11284" width="6.08984375" style="2016" customWidth="1"/>
    <col min="11285" max="11285" width="4.08984375" style="2016" customWidth="1"/>
    <col min="11286" max="11286" width="6.08984375" style="2016" customWidth="1"/>
    <col min="11287" max="11287" width="4.08984375" style="2016" customWidth="1"/>
    <col min="11288" max="11289" width="6.08984375" style="2016" customWidth="1"/>
    <col min="11290" max="11290" width="4.26953125" style="2016" customWidth="1"/>
    <col min="11291" max="11291" width="6.08984375" style="2016" customWidth="1"/>
    <col min="11292" max="11292" width="4.08984375" style="2016" customWidth="1"/>
    <col min="11293" max="11294" width="6.08984375" style="2016" customWidth="1"/>
    <col min="11295" max="11520" width="8.7265625" style="2016"/>
    <col min="11521" max="11521" width="5.6328125" style="2016" customWidth="1"/>
    <col min="11522" max="11522" width="3" style="2016" customWidth="1"/>
    <col min="11523" max="11523" width="15.36328125" style="2016" customWidth="1"/>
    <col min="11524" max="11528" width="6.08984375" style="2016" customWidth="1"/>
    <col min="11529" max="11529" width="4.08984375" style="2016" customWidth="1"/>
    <col min="11530" max="11530" width="6.08984375" style="2016" customWidth="1"/>
    <col min="11531" max="11531" width="4.08984375" style="2016" customWidth="1"/>
    <col min="11532" max="11532" width="6.90625" style="2016" customWidth="1"/>
    <col min="11533" max="11536" width="6.08984375" style="2016" customWidth="1"/>
    <col min="11537" max="11537" width="4.08984375" style="2016" customWidth="1"/>
    <col min="11538" max="11538" width="6.08984375" style="2016" customWidth="1"/>
    <col min="11539" max="11539" width="4.08984375" style="2016" customWidth="1"/>
    <col min="11540" max="11540" width="6.08984375" style="2016" customWidth="1"/>
    <col min="11541" max="11541" width="4.08984375" style="2016" customWidth="1"/>
    <col min="11542" max="11542" width="6.08984375" style="2016" customWidth="1"/>
    <col min="11543" max="11543" width="4.08984375" style="2016" customWidth="1"/>
    <col min="11544" max="11545" width="6.08984375" style="2016" customWidth="1"/>
    <col min="11546" max="11546" width="4.26953125" style="2016" customWidth="1"/>
    <col min="11547" max="11547" width="6.08984375" style="2016" customWidth="1"/>
    <col min="11548" max="11548" width="4.08984375" style="2016" customWidth="1"/>
    <col min="11549" max="11550" width="6.08984375" style="2016" customWidth="1"/>
    <col min="11551" max="11776" width="8.7265625" style="2016"/>
    <col min="11777" max="11777" width="5.6328125" style="2016" customWidth="1"/>
    <col min="11778" max="11778" width="3" style="2016" customWidth="1"/>
    <col min="11779" max="11779" width="15.36328125" style="2016" customWidth="1"/>
    <col min="11780" max="11784" width="6.08984375" style="2016" customWidth="1"/>
    <col min="11785" max="11785" width="4.08984375" style="2016" customWidth="1"/>
    <col min="11786" max="11786" width="6.08984375" style="2016" customWidth="1"/>
    <col min="11787" max="11787" width="4.08984375" style="2016" customWidth="1"/>
    <col min="11788" max="11788" width="6.90625" style="2016" customWidth="1"/>
    <col min="11789" max="11792" width="6.08984375" style="2016" customWidth="1"/>
    <col min="11793" max="11793" width="4.08984375" style="2016" customWidth="1"/>
    <col min="11794" max="11794" width="6.08984375" style="2016" customWidth="1"/>
    <col min="11795" max="11795" width="4.08984375" style="2016" customWidth="1"/>
    <col min="11796" max="11796" width="6.08984375" style="2016" customWidth="1"/>
    <col min="11797" max="11797" width="4.08984375" style="2016" customWidth="1"/>
    <col min="11798" max="11798" width="6.08984375" style="2016" customWidth="1"/>
    <col min="11799" max="11799" width="4.08984375" style="2016" customWidth="1"/>
    <col min="11800" max="11801" width="6.08984375" style="2016" customWidth="1"/>
    <col min="11802" max="11802" width="4.26953125" style="2016" customWidth="1"/>
    <col min="11803" max="11803" width="6.08984375" style="2016" customWidth="1"/>
    <col min="11804" max="11804" width="4.08984375" style="2016" customWidth="1"/>
    <col min="11805" max="11806" width="6.08984375" style="2016" customWidth="1"/>
    <col min="11807" max="12032" width="8.7265625" style="2016"/>
    <col min="12033" max="12033" width="5.6328125" style="2016" customWidth="1"/>
    <col min="12034" max="12034" width="3" style="2016" customWidth="1"/>
    <col min="12035" max="12035" width="15.36328125" style="2016" customWidth="1"/>
    <col min="12036" max="12040" width="6.08984375" style="2016" customWidth="1"/>
    <col min="12041" max="12041" width="4.08984375" style="2016" customWidth="1"/>
    <col min="12042" max="12042" width="6.08984375" style="2016" customWidth="1"/>
    <col min="12043" max="12043" width="4.08984375" style="2016" customWidth="1"/>
    <col min="12044" max="12044" width="6.90625" style="2016" customWidth="1"/>
    <col min="12045" max="12048" width="6.08984375" style="2016" customWidth="1"/>
    <col min="12049" max="12049" width="4.08984375" style="2016" customWidth="1"/>
    <col min="12050" max="12050" width="6.08984375" style="2016" customWidth="1"/>
    <col min="12051" max="12051" width="4.08984375" style="2016" customWidth="1"/>
    <col min="12052" max="12052" width="6.08984375" style="2016" customWidth="1"/>
    <col min="12053" max="12053" width="4.08984375" style="2016" customWidth="1"/>
    <col min="12054" max="12054" width="6.08984375" style="2016" customWidth="1"/>
    <col min="12055" max="12055" width="4.08984375" style="2016" customWidth="1"/>
    <col min="12056" max="12057" width="6.08984375" style="2016" customWidth="1"/>
    <col min="12058" max="12058" width="4.26953125" style="2016" customWidth="1"/>
    <col min="12059" max="12059" width="6.08984375" style="2016" customWidth="1"/>
    <col min="12060" max="12060" width="4.08984375" style="2016" customWidth="1"/>
    <col min="12061" max="12062" width="6.08984375" style="2016" customWidth="1"/>
    <col min="12063" max="12288" width="8.7265625" style="2016"/>
    <col min="12289" max="12289" width="5.6328125" style="2016" customWidth="1"/>
    <col min="12290" max="12290" width="3" style="2016" customWidth="1"/>
    <col min="12291" max="12291" width="15.36328125" style="2016" customWidth="1"/>
    <col min="12292" max="12296" width="6.08984375" style="2016" customWidth="1"/>
    <col min="12297" max="12297" width="4.08984375" style="2016" customWidth="1"/>
    <col min="12298" max="12298" width="6.08984375" style="2016" customWidth="1"/>
    <col min="12299" max="12299" width="4.08984375" style="2016" customWidth="1"/>
    <col min="12300" max="12300" width="6.90625" style="2016" customWidth="1"/>
    <col min="12301" max="12304" width="6.08984375" style="2016" customWidth="1"/>
    <col min="12305" max="12305" width="4.08984375" style="2016" customWidth="1"/>
    <col min="12306" max="12306" width="6.08984375" style="2016" customWidth="1"/>
    <col min="12307" max="12307" width="4.08984375" style="2016" customWidth="1"/>
    <col min="12308" max="12308" width="6.08984375" style="2016" customWidth="1"/>
    <col min="12309" max="12309" width="4.08984375" style="2016" customWidth="1"/>
    <col min="12310" max="12310" width="6.08984375" style="2016" customWidth="1"/>
    <col min="12311" max="12311" width="4.08984375" style="2016" customWidth="1"/>
    <col min="12312" max="12313" width="6.08984375" style="2016" customWidth="1"/>
    <col min="12314" max="12314" width="4.26953125" style="2016" customWidth="1"/>
    <col min="12315" max="12315" width="6.08984375" style="2016" customWidth="1"/>
    <col min="12316" max="12316" width="4.08984375" style="2016" customWidth="1"/>
    <col min="12317" max="12318" width="6.08984375" style="2016" customWidth="1"/>
    <col min="12319" max="12544" width="8.7265625" style="2016"/>
    <col min="12545" max="12545" width="5.6328125" style="2016" customWidth="1"/>
    <col min="12546" max="12546" width="3" style="2016" customWidth="1"/>
    <col min="12547" max="12547" width="15.36328125" style="2016" customWidth="1"/>
    <col min="12548" max="12552" width="6.08984375" style="2016" customWidth="1"/>
    <col min="12553" max="12553" width="4.08984375" style="2016" customWidth="1"/>
    <col min="12554" max="12554" width="6.08984375" style="2016" customWidth="1"/>
    <col min="12555" max="12555" width="4.08984375" style="2016" customWidth="1"/>
    <col min="12556" max="12556" width="6.90625" style="2016" customWidth="1"/>
    <col min="12557" max="12560" width="6.08984375" style="2016" customWidth="1"/>
    <col min="12561" max="12561" width="4.08984375" style="2016" customWidth="1"/>
    <col min="12562" max="12562" width="6.08984375" style="2016" customWidth="1"/>
    <col min="12563" max="12563" width="4.08984375" style="2016" customWidth="1"/>
    <col min="12564" max="12564" width="6.08984375" style="2016" customWidth="1"/>
    <col min="12565" max="12565" width="4.08984375" style="2016" customWidth="1"/>
    <col min="12566" max="12566" width="6.08984375" style="2016" customWidth="1"/>
    <col min="12567" max="12567" width="4.08984375" style="2016" customWidth="1"/>
    <col min="12568" max="12569" width="6.08984375" style="2016" customWidth="1"/>
    <col min="12570" max="12570" width="4.26953125" style="2016" customWidth="1"/>
    <col min="12571" max="12571" width="6.08984375" style="2016" customWidth="1"/>
    <col min="12572" max="12572" width="4.08984375" style="2016" customWidth="1"/>
    <col min="12573" max="12574" width="6.08984375" style="2016" customWidth="1"/>
    <col min="12575" max="12800" width="8.7265625" style="2016"/>
    <col min="12801" max="12801" width="5.6328125" style="2016" customWidth="1"/>
    <col min="12802" max="12802" width="3" style="2016" customWidth="1"/>
    <col min="12803" max="12803" width="15.36328125" style="2016" customWidth="1"/>
    <col min="12804" max="12808" width="6.08984375" style="2016" customWidth="1"/>
    <col min="12809" max="12809" width="4.08984375" style="2016" customWidth="1"/>
    <col min="12810" max="12810" width="6.08984375" style="2016" customWidth="1"/>
    <col min="12811" max="12811" width="4.08984375" style="2016" customWidth="1"/>
    <col min="12812" max="12812" width="6.90625" style="2016" customWidth="1"/>
    <col min="12813" max="12816" width="6.08984375" style="2016" customWidth="1"/>
    <col min="12817" max="12817" width="4.08984375" style="2016" customWidth="1"/>
    <col min="12818" max="12818" width="6.08984375" style="2016" customWidth="1"/>
    <col min="12819" max="12819" width="4.08984375" style="2016" customWidth="1"/>
    <col min="12820" max="12820" width="6.08984375" style="2016" customWidth="1"/>
    <col min="12821" max="12821" width="4.08984375" style="2016" customWidth="1"/>
    <col min="12822" max="12822" width="6.08984375" style="2016" customWidth="1"/>
    <col min="12823" max="12823" width="4.08984375" style="2016" customWidth="1"/>
    <col min="12824" max="12825" width="6.08984375" style="2016" customWidth="1"/>
    <col min="12826" max="12826" width="4.26953125" style="2016" customWidth="1"/>
    <col min="12827" max="12827" width="6.08984375" style="2016" customWidth="1"/>
    <col min="12828" max="12828" width="4.08984375" style="2016" customWidth="1"/>
    <col min="12829" max="12830" width="6.08984375" style="2016" customWidth="1"/>
    <col min="12831" max="13056" width="8.7265625" style="2016"/>
    <col min="13057" max="13057" width="5.6328125" style="2016" customWidth="1"/>
    <col min="13058" max="13058" width="3" style="2016" customWidth="1"/>
    <col min="13059" max="13059" width="15.36328125" style="2016" customWidth="1"/>
    <col min="13060" max="13064" width="6.08984375" style="2016" customWidth="1"/>
    <col min="13065" max="13065" width="4.08984375" style="2016" customWidth="1"/>
    <col min="13066" max="13066" width="6.08984375" style="2016" customWidth="1"/>
    <col min="13067" max="13067" width="4.08984375" style="2016" customWidth="1"/>
    <col min="13068" max="13068" width="6.90625" style="2016" customWidth="1"/>
    <col min="13069" max="13072" width="6.08984375" style="2016" customWidth="1"/>
    <col min="13073" max="13073" width="4.08984375" style="2016" customWidth="1"/>
    <col min="13074" max="13074" width="6.08984375" style="2016" customWidth="1"/>
    <col min="13075" max="13075" width="4.08984375" style="2016" customWidth="1"/>
    <col min="13076" max="13076" width="6.08984375" style="2016" customWidth="1"/>
    <col min="13077" max="13077" width="4.08984375" style="2016" customWidth="1"/>
    <col min="13078" max="13078" width="6.08984375" style="2016" customWidth="1"/>
    <col min="13079" max="13079" width="4.08984375" style="2016" customWidth="1"/>
    <col min="13080" max="13081" width="6.08984375" style="2016" customWidth="1"/>
    <col min="13082" max="13082" width="4.26953125" style="2016" customWidth="1"/>
    <col min="13083" max="13083" width="6.08984375" style="2016" customWidth="1"/>
    <col min="13084" max="13084" width="4.08984375" style="2016" customWidth="1"/>
    <col min="13085" max="13086" width="6.08984375" style="2016" customWidth="1"/>
    <col min="13087" max="13312" width="8.7265625" style="2016"/>
    <col min="13313" max="13313" width="5.6328125" style="2016" customWidth="1"/>
    <col min="13314" max="13314" width="3" style="2016" customWidth="1"/>
    <col min="13315" max="13315" width="15.36328125" style="2016" customWidth="1"/>
    <col min="13316" max="13320" width="6.08984375" style="2016" customWidth="1"/>
    <col min="13321" max="13321" width="4.08984375" style="2016" customWidth="1"/>
    <col min="13322" max="13322" width="6.08984375" style="2016" customWidth="1"/>
    <col min="13323" max="13323" width="4.08984375" style="2016" customWidth="1"/>
    <col min="13324" max="13324" width="6.90625" style="2016" customWidth="1"/>
    <col min="13325" max="13328" width="6.08984375" style="2016" customWidth="1"/>
    <col min="13329" max="13329" width="4.08984375" style="2016" customWidth="1"/>
    <col min="13330" max="13330" width="6.08984375" style="2016" customWidth="1"/>
    <col min="13331" max="13331" width="4.08984375" style="2016" customWidth="1"/>
    <col min="13332" max="13332" width="6.08984375" style="2016" customWidth="1"/>
    <col min="13333" max="13333" width="4.08984375" style="2016" customWidth="1"/>
    <col min="13334" max="13334" width="6.08984375" style="2016" customWidth="1"/>
    <col min="13335" max="13335" width="4.08984375" style="2016" customWidth="1"/>
    <col min="13336" max="13337" width="6.08984375" style="2016" customWidth="1"/>
    <col min="13338" max="13338" width="4.26953125" style="2016" customWidth="1"/>
    <col min="13339" max="13339" width="6.08984375" style="2016" customWidth="1"/>
    <col min="13340" max="13340" width="4.08984375" style="2016" customWidth="1"/>
    <col min="13341" max="13342" width="6.08984375" style="2016" customWidth="1"/>
    <col min="13343" max="13568" width="8.7265625" style="2016"/>
    <col min="13569" max="13569" width="5.6328125" style="2016" customWidth="1"/>
    <col min="13570" max="13570" width="3" style="2016" customWidth="1"/>
    <col min="13571" max="13571" width="15.36328125" style="2016" customWidth="1"/>
    <col min="13572" max="13576" width="6.08984375" style="2016" customWidth="1"/>
    <col min="13577" max="13577" width="4.08984375" style="2016" customWidth="1"/>
    <col min="13578" max="13578" width="6.08984375" style="2016" customWidth="1"/>
    <col min="13579" max="13579" width="4.08984375" style="2016" customWidth="1"/>
    <col min="13580" max="13580" width="6.90625" style="2016" customWidth="1"/>
    <col min="13581" max="13584" width="6.08984375" style="2016" customWidth="1"/>
    <col min="13585" max="13585" width="4.08984375" style="2016" customWidth="1"/>
    <col min="13586" max="13586" width="6.08984375" style="2016" customWidth="1"/>
    <col min="13587" max="13587" width="4.08984375" style="2016" customWidth="1"/>
    <col min="13588" max="13588" width="6.08984375" style="2016" customWidth="1"/>
    <col min="13589" max="13589" width="4.08984375" style="2016" customWidth="1"/>
    <col min="13590" max="13590" width="6.08984375" style="2016" customWidth="1"/>
    <col min="13591" max="13591" width="4.08984375" style="2016" customWidth="1"/>
    <col min="13592" max="13593" width="6.08984375" style="2016" customWidth="1"/>
    <col min="13594" max="13594" width="4.26953125" style="2016" customWidth="1"/>
    <col min="13595" max="13595" width="6.08984375" style="2016" customWidth="1"/>
    <col min="13596" max="13596" width="4.08984375" style="2016" customWidth="1"/>
    <col min="13597" max="13598" width="6.08984375" style="2016" customWidth="1"/>
    <col min="13599" max="13824" width="8.7265625" style="2016"/>
    <col min="13825" max="13825" width="5.6328125" style="2016" customWidth="1"/>
    <col min="13826" max="13826" width="3" style="2016" customWidth="1"/>
    <col min="13827" max="13827" width="15.36328125" style="2016" customWidth="1"/>
    <col min="13828" max="13832" width="6.08984375" style="2016" customWidth="1"/>
    <col min="13833" max="13833" width="4.08984375" style="2016" customWidth="1"/>
    <col min="13834" max="13834" width="6.08984375" style="2016" customWidth="1"/>
    <col min="13835" max="13835" width="4.08984375" style="2016" customWidth="1"/>
    <col min="13836" max="13836" width="6.90625" style="2016" customWidth="1"/>
    <col min="13837" max="13840" width="6.08984375" style="2016" customWidth="1"/>
    <col min="13841" max="13841" width="4.08984375" style="2016" customWidth="1"/>
    <col min="13842" max="13842" width="6.08984375" style="2016" customWidth="1"/>
    <col min="13843" max="13843" width="4.08984375" style="2016" customWidth="1"/>
    <col min="13844" max="13844" width="6.08984375" style="2016" customWidth="1"/>
    <col min="13845" max="13845" width="4.08984375" style="2016" customWidth="1"/>
    <col min="13846" max="13846" width="6.08984375" style="2016" customWidth="1"/>
    <col min="13847" max="13847" width="4.08984375" style="2016" customWidth="1"/>
    <col min="13848" max="13849" width="6.08984375" style="2016" customWidth="1"/>
    <col min="13850" max="13850" width="4.26953125" style="2016" customWidth="1"/>
    <col min="13851" max="13851" width="6.08984375" style="2016" customWidth="1"/>
    <col min="13852" max="13852" width="4.08984375" style="2016" customWidth="1"/>
    <col min="13853" max="13854" width="6.08984375" style="2016" customWidth="1"/>
    <col min="13855" max="14080" width="8.7265625" style="2016"/>
    <col min="14081" max="14081" width="5.6328125" style="2016" customWidth="1"/>
    <col min="14082" max="14082" width="3" style="2016" customWidth="1"/>
    <col min="14083" max="14083" width="15.36328125" style="2016" customWidth="1"/>
    <col min="14084" max="14088" width="6.08984375" style="2016" customWidth="1"/>
    <col min="14089" max="14089" width="4.08984375" style="2016" customWidth="1"/>
    <col min="14090" max="14090" width="6.08984375" style="2016" customWidth="1"/>
    <col min="14091" max="14091" width="4.08984375" style="2016" customWidth="1"/>
    <col min="14092" max="14092" width="6.90625" style="2016" customWidth="1"/>
    <col min="14093" max="14096" width="6.08984375" style="2016" customWidth="1"/>
    <col min="14097" max="14097" width="4.08984375" style="2016" customWidth="1"/>
    <col min="14098" max="14098" width="6.08984375" style="2016" customWidth="1"/>
    <col min="14099" max="14099" width="4.08984375" style="2016" customWidth="1"/>
    <col min="14100" max="14100" width="6.08984375" style="2016" customWidth="1"/>
    <col min="14101" max="14101" width="4.08984375" style="2016" customWidth="1"/>
    <col min="14102" max="14102" width="6.08984375" style="2016" customWidth="1"/>
    <col min="14103" max="14103" width="4.08984375" style="2016" customWidth="1"/>
    <col min="14104" max="14105" width="6.08984375" style="2016" customWidth="1"/>
    <col min="14106" max="14106" width="4.26953125" style="2016" customWidth="1"/>
    <col min="14107" max="14107" width="6.08984375" style="2016" customWidth="1"/>
    <col min="14108" max="14108" width="4.08984375" style="2016" customWidth="1"/>
    <col min="14109" max="14110" width="6.08984375" style="2016" customWidth="1"/>
    <col min="14111" max="14336" width="8.7265625" style="2016"/>
    <col min="14337" max="14337" width="5.6328125" style="2016" customWidth="1"/>
    <col min="14338" max="14338" width="3" style="2016" customWidth="1"/>
    <col min="14339" max="14339" width="15.36328125" style="2016" customWidth="1"/>
    <col min="14340" max="14344" width="6.08984375" style="2016" customWidth="1"/>
    <col min="14345" max="14345" width="4.08984375" style="2016" customWidth="1"/>
    <col min="14346" max="14346" width="6.08984375" style="2016" customWidth="1"/>
    <col min="14347" max="14347" width="4.08984375" style="2016" customWidth="1"/>
    <col min="14348" max="14348" width="6.90625" style="2016" customWidth="1"/>
    <col min="14349" max="14352" width="6.08984375" style="2016" customWidth="1"/>
    <col min="14353" max="14353" width="4.08984375" style="2016" customWidth="1"/>
    <col min="14354" max="14354" width="6.08984375" style="2016" customWidth="1"/>
    <col min="14355" max="14355" width="4.08984375" style="2016" customWidth="1"/>
    <col min="14356" max="14356" width="6.08984375" style="2016" customWidth="1"/>
    <col min="14357" max="14357" width="4.08984375" style="2016" customWidth="1"/>
    <col min="14358" max="14358" width="6.08984375" style="2016" customWidth="1"/>
    <col min="14359" max="14359" width="4.08984375" style="2016" customWidth="1"/>
    <col min="14360" max="14361" width="6.08984375" style="2016" customWidth="1"/>
    <col min="14362" max="14362" width="4.26953125" style="2016" customWidth="1"/>
    <col min="14363" max="14363" width="6.08984375" style="2016" customWidth="1"/>
    <col min="14364" max="14364" width="4.08984375" style="2016" customWidth="1"/>
    <col min="14365" max="14366" width="6.08984375" style="2016" customWidth="1"/>
    <col min="14367" max="14592" width="8.7265625" style="2016"/>
    <col min="14593" max="14593" width="5.6328125" style="2016" customWidth="1"/>
    <col min="14594" max="14594" width="3" style="2016" customWidth="1"/>
    <col min="14595" max="14595" width="15.36328125" style="2016" customWidth="1"/>
    <col min="14596" max="14600" width="6.08984375" style="2016" customWidth="1"/>
    <col min="14601" max="14601" width="4.08984375" style="2016" customWidth="1"/>
    <col min="14602" max="14602" width="6.08984375" style="2016" customWidth="1"/>
    <col min="14603" max="14603" width="4.08984375" style="2016" customWidth="1"/>
    <col min="14604" max="14604" width="6.90625" style="2016" customWidth="1"/>
    <col min="14605" max="14608" width="6.08984375" style="2016" customWidth="1"/>
    <col min="14609" max="14609" width="4.08984375" style="2016" customWidth="1"/>
    <col min="14610" max="14610" width="6.08984375" style="2016" customWidth="1"/>
    <col min="14611" max="14611" width="4.08984375" style="2016" customWidth="1"/>
    <col min="14612" max="14612" width="6.08984375" style="2016" customWidth="1"/>
    <col min="14613" max="14613" width="4.08984375" style="2016" customWidth="1"/>
    <col min="14614" max="14614" width="6.08984375" style="2016" customWidth="1"/>
    <col min="14615" max="14615" width="4.08984375" style="2016" customWidth="1"/>
    <col min="14616" max="14617" width="6.08984375" style="2016" customWidth="1"/>
    <col min="14618" max="14618" width="4.26953125" style="2016" customWidth="1"/>
    <col min="14619" max="14619" width="6.08984375" style="2016" customWidth="1"/>
    <col min="14620" max="14620" width="4.08984375" style="2016" customWidth="1"/>
    <col min="14621" max="14622" width="6.08984375" style="2016" customWidth="1"/>
    <col min="14623" max="14848" width="8.7265625" style="2016"/>
    <col min="14849" max="14849" width="5.6328125" style="2016" customWidth="1"/>
    <col min="14850" max="14850" width="3" style="2016" customWidth="1"/>
    <col min="14851" max="14851" width="15.36328125" style="2016" customWidth="1"/>
    <col min="14852" max="14856" width="6.08984375" style="2016" customWidth="1"/>
    <col min="14857" max="14857" width="4.08984375" style="2016" customWidth="1"/>
    <col min="14858" max="14858" width="6.08984375" style="2016" customWidth="1"/>
    <col min="14859" max="14859" width="4.08984375" style="2016" customWidth="1"/>
    <col min="14860" max="14860" width="6.90625" style="2016" customWidth="1"/>
    <col min="14861" max="14864" width="6.08984375" style="2016" customWidth="1"/>
    <col min="14865" max="14865" width="4.08984375" style="2016" customWidth="1"/>
    <col min="14866" max="14866" width="6.08984375" style="2016" customWidth="1"/>
    <col min="14867" max="14867" width="4.08984375" style="2016" customWidth="1"/>
    <col min="14868" max="14868" width="6.08984375" style="2016" customWidth="1"/>
    <col min="14869" max="14869" width="4.08984375" style="2016" customWidth="1"/>
    <col min="14870" max="14870" width="6.08984375" style="2016" customWidth="1"/>
    <col min="14871" max="14871" width="4.08984375" style="2016" customWidth="1"/>
    <col min="14872" max="14873" width="6.08984375" style="2016" customWidth="1"/>
    <col min="14874" max="14874" width="4.26953125" style="2016" customWidth="1"/>
    <col min="14875" max="14875" width="6.08984375" style="2016" customWidth="1"/>
    <col min="14876" max="14876" width="4.08984375" style="2016" customWidth="1"/>
    <col min="14877" max="14878" width="6.08984375" style="2016" customWidth="1"/>
    <col min="14879" max="15104" width="8.7265625" style="2016"/>
    <col min="15105" max="15105" width="5.6328125" style="2016" customWidth="1"/>
    <col min="15106" max="15106" width="3" style="2016" customWidth="1"/>
    <col min="15107" max="15107" width="15.36328125" style="2016" customWidth="1"/>
    <col min="15108" max="15112" width="6.08984375" style="2016" customWidth="1"/>
    <col min="15113" max="15113" width="4.08984375" style="2016" customWidth="1"/>
    <col min="15114" max="15114" width="6.08984375" style="2016" customWidth="1"/>
    <col min="15115" max="15115" width="4.08984375" style="2016" customWidth="1"/>
    <col min="15116" max="15116" width="6.90625" style="2016" customWidth="1"/>
    <col min="15117" max="15120" width="6.08984375" style="2016" customWidth="1"/>
    <col min="15121" max="15121" width="4.08984375" style="2016" customWidth="1"/>
    <col min="15122" max="15122" width="6.08984375" style="2016" customWidth="1"/>
    <col min="15123" max="15123" width="4.08984375" style="2016" customWidth="1"/>
    <col min="15124" max="15124" width="6.08984375" style="2016" customWidth="1"/>
    <col min="15125" max="15125" width="4.08984375" style="2016" customWidth="1"/>
    <col min="15126" max="15126" width="6.08984375" style="2016" customWidth="1"/>
    <col min="15127" max="15127" width="4.08984375" style="2016" customWidth="1"/>
    <col min="15128" max="15129" width="6.08984375" style="2016" customWidth="1"/>
    <col min="15130" max="15130" width="4.26953125" style="2016" customWidth="1"/>
    <col min="15131" max="15131" width="6.08984375" style="2016" customWidth="1"/>
    <col min="15132" max="15132" width="4.08984375" style="2016" customWidth="1"/>
    <col min="15133" max="15134" width="6.08984375" style="2016" customWidth="1"/>
    <col min="15135" max="15360" width="8.7265625" style="2016"/>
    <col min="15361" max="15361" width="5.6328125" style="2016" customWidth="1"/>
    <col min="15362" max="15362" width="3" style="2016" customWidth="1"/>
    <col min="15363" max="15363" width="15.36328125" style="2016" customWidth="1"/>
    <col min="15364" max="15368" width="6.08984375" style="2016" customWidth="1"/>
    <col min="15369" max="15369" width="4.08984375" style="2016" customWidth="1"/>
    <col min="15370" max="15370" width="6.08984375" style="2016" customWidth="1"/>
    <col min="15371" max="15371" width="4.08984375" style="2016" customWidth="1"/>
    <col min="15372" max="15372" width="6.90625" style="2016" customWidth="1"/>
    <col min="15373" max="15376" width="6.08984375" style="2016" customWidth="1"/>
    <col min="15377" max="15377" width="4.08984375" style="2016" customWidth="1"/>
    <col min="15378" max="15378" width="6.08984375" style="2016" customWidth="1"/>
    <col min="15379" max="15379" width="4.08984375" style="2016" customWidth="1"/>
    <col min="15380" max="15380" width="6.08984375" style="2016" customWidth="1"/>
    <col min="15381" max="15381" width="4.08984375" style="2016" customWidth="1"/>
    <col min="15382" max="15382" width="6.08984375" style="2016" customWidth="1"/>
    <col min="15383" max="15383" width="4.08984375" style="2016" customWidth="1"/>
    <col min="15384" max="15385" width="6.08984375" style="2016" customWidth="1"/>
    <col min="15386" max="15386" width="4.26953125" style="2016" customWidth="1"/>
    <col min="15387" max="15387" width="6.08984375" style="2016" customWidth="1"/>
    <col min="15388" max="15388" width="4.08984375" style="2016" customWidth="1"/>
    <col min="15389" max="15390" width="6.08984375" style="2016" customWidth="1"/>
    <col min="15391" max="15616" width="8.7265625" style="2016"/>
    <col min="15617" max="15617" width="5.6328125" style="2016" customWidth="1"/>
    <col min="15618" max="15618" width="3" style="2016" customWidth="1"/>
    <col min="15619" max="15619" width="15.36328125" style="2016" customWidth="1"/>
    <col min="15620" max="15624" width="6.08984375" style="2016" customWidth="1"/>
    <col min="15625" max="15625" width="4.08984375" style="2016" customWidth="1"/>
    <col min="15626" max="15626" width="6.08984375" style="2016" customWidth="1"/>
    <col min="15627" max="15627" width="4.08984375" style="2016" customWidth="1"/>
    <col min="15628" max="15628" width="6.90625" style="2016" customWidth="1"/>
    <col min="15629" max="15632" width="6.08984375" style="2016" customWidth="1"/>
    <col min="15633" max="15633" width="4.08984375" style="2016" customWidth="1"/>
    <col min="15634" max="15634" width="6.08984375" style="2016" customWidth="1"/>
    <col min="15635" max="15635" width="4.08984375" style="2016" customWidth="1"/>
    <col min="15636" max="15636" width="6.08984375" style="2016" customWidth="1"/>
    <col min="15637" max="15637" width="4.08984375" style="2016" customWidth="1"/>
    <col min="15638" max="15638" width="6.08984375" style="2016" customWidth="1"/>
    <col min="15639" max="15639" width="4.08984375" style="2016" customWidth="1"/>
    <col min="15640" max="15641" width="6.08984375" style="2016" customWidth="1"/>
    <col min="15642" max="15642" width="4.26953125" style="2016" customWidth="1"/>
    <col min="15643" max="15643" width="6.08984375" style="2016" customWidth="1"/>
    <col min="15644" max="15644" width="4.08984375" style="2016" customWidth="1"/>
    <col min="15645" max="15646" width="6.08984375" style="2016" customWidth="1"/>
    <col min="15647" max="15872" width="8.7265625" style="2016"/>
    <col min="15873" max="15873" width="5.6328125" style="2016" customWidth="1"/>
    <col min="15874" max="15874" width="3" style="2016" customWidth="1"/>
    <col min="15875" max="15875" width="15.36328125" style="2016" customWidth="1"/>
    <col min="15876" max="15880" width="6.08984375" style="2016" customWidth="1"/>
    <col min="15881" max="15881" width="4.08984375" style="2016" customWidth="1"/>
    <col min="15882" max="15882" width="6.08984375" style="2016" customWidth="1"/>
    <col min="15883" max="15883" width="4.08984375" style="2016" customWidth="1"/>
    <col min="15884" max="15884" width="6.90625" style="2016" customWidth="1"/>
    <col min="15885" max="15888" width="6.08984375" style="2016" customWidth="1"/>
    <col min="15889" max="15889" width="4.08984375" style="2016" customWidth="1"/>
    <col min="15890" max="15890" width="6.08984375" style="2016" customWidth="1"/>
    <col min="15891" max="15891" width="4.08984375" style="2016" customWidth="1"/>
    <col min="15892" max="15892" width="6.08984375" style="2016" customWidth="1"/>
    <col min="15893" max="15893" width="4.08984375" style="2016" customWidth="1"/>
    <col min="15894" max="15894" width="6.08984375" style="2016" customWidth="1"/>
    <col min="15895" max="15895" width="4.08984375" style="2016" customWidth="1"/>
    <col min="15896" max="15897" width="6.08984375" style="2016" customWidth="1"/>
    <col min="15898" max="15898" width="4.26953125" style="2016" customWidth="1"/>
    <col min="15899" max="15899" width="6.08984375" style="2016" customWidth="1"/>
    <col min="15900" max="15900" width="4.08984375" style="2016" customWidth="1"/>
    <col min="15901" max="15902" width="6.08984375" style="2016" customWidth="1"/>
    <col min="15903" max="16128" width="8.7265625" style="2016"/>
    <col min="16129" max="16129" width="5.6328125" style="2016" customWidth="1"/>
    <col min="16130" max="16130" width="3" style="2016" customWidth="1"/>
    <col min="16131" max="16131" width="15.36328125" style="2016" customWidth="1"/>
    <col min="16132" max="16136" width="6.08984375" style="2016" customWidth="1"/>
    <col min="16137" max="16137" width="4.08984375" style="2016" customWidth="1"/>
    <col min="16138" max="16138" width="6.08984375" style="2016" customWidth="1"/>
    <col min="16139" max="16139" width="4.08984375" style="2016" customWidth="1"/>
    <col min="16140" max="16140" width="6.90625" style="2016" customWidth="1"/>
    <col min="16141" max="16144" width="6.08984375" style="2016" customWidth="1"/>
    <col min="16145" max="16145" width="4.08984375" style="2016" customWidth="1"/>
    <col min="16146" max="16146" width="6.08984375" style="2016" customWidth="1"/>
    <col min="16147" max="16147" width="4.08984375" style="2016" customWidth="1"/>
    <col min="16148" max="16148" width="6.08984375" style="2016" customWidth="1"/>
    <col min="16149" max="16149" width="4.08984375" style="2016" customWidth="1"/>
    <col min="16150" max="16150" width="6.08984375" style="2016" customWidth="1"/>
    <col min="16151" max="16151" width="4.08984375" style="2016" customWidth="1"/>
    <col min="16152" max="16153" width="6.08984375" style="2016" customWidth="1"/>
    <col min="16154" max="16154" width="4.26953125" style="2016" customWidth="1"/>
    <col min="16155" max="16155" width="6.08984375" style="2016" customWidth="1"/>
    <col min="16156" max="16156" width="4.08984375" style="2016" customWidth="1"/>
    <col min="16157" max="16157" width="6.08984375" style="2016" customWidth="1"/>
    <col min="16158" max="16384" width="8.7265625" style="150"/>
  </cols>
  <sheetData>
    <row r="1" spans="1:30" s="216" customFormat="1" ht="16.5">
      <c r="A1" s="216" t="s">
        <v>777</v>
      </c>
      <c r="D1" s="150"/>
      <c r="E1" s="150"/>
      <c r="F1" s="150"/>
      <c r="G1" s="150"/>
      <c r="H1" s="150"/>
      <c r="I1" s="150"/>
      <c r="J1" s="150"/>
      <c r="K1" s="150"/>
      <c r="L1" s="150"/>
      <c r="M1" s="150"/>
      <c r="N1" s="150"/>
      <c r="O1" s="150"/>
      <c r="Q1" s="179"/>
      <c r="R1" s="150"/>
      <c r="S1" s="179"/>
      <c r="T1" s="150"/>
      <c r="U1" s="179"/>
      <c r="V1" s="150"/>
      <c r="W1" s="179"/>
      <c r="X1" s="150"/>
      <c r="Y1" s="150"/>
      <c r="Z1" s="150"/>
      <c r="AA1" s="150"/>
      <c r="AB1" s="150"/>
      <c r="AC1" s="150"/>
      <c r="AD1" s="150"/>
    </row>
    <row r="2" spans="1:30" s="154" customFormat="1" ht="14.15" customHeight="1">
      <c r="P2" s="152"/>
      <c r="Z2" s="330"/>
    </row>
    <row r="3" spans="1:30" s="178" customFormat="1" ht="16.5" customHeight="1">
      <c r="A3" s="849" t="s">
        <v>495</v>
      </c>
      <c r="B3" s="849" t="s">
        <v>496</v>
      </c>
      <c r="C3" s="849" t="s">
        <v>497</v>
      </c>
      <c r="D3" s="914" t="s">
        <v>524</v>
      </c>
      <c r="E3" s="914"/>
      <c r="F3" s="914"/>
      <c r="G3" s="914"/>
      <c r="H3" s="914"/>
      <c r="I3" s="914"/>
      <c r="J3" s="914"/>
      <c r="K3" s="914"/>
      <c r="L3" s="914"/>
      <c r="M3" s="914"/>
      <c r="N3" s="914"/>
      <c r="O3" s="914"/>
      <c r="P3" s="914" t="s">
        <v>525</v>
      </c>
      <c r="Q3" s="914"/>
      <c r="R3" s="914"/>
      <c r="S3" s="914"/>
      <c r="T3" s="914"/>
      <c r="U3" s="914"/>
      <c r="V3" s="914"/>
      <c r="W3" s="914"/>
      <c r="X3" s="914"/>
      <c r="Y3" s="914"/>
      <c r="Z3" s="914" t="s">
        <v>778</v>
      </c>
      <c r="AA3" s="914"/>
      <c r="AB3" s="914"/>
      <c r="AC3" s="914"/>
      <c r="AD3" s="914"/>
    </row>
    <row r="4" spans="1:30" s="178" customFormat="1" ht="17.25" customHeight="1">
      <c r="A4" s="849"/>
      <c r="B4" s="849"/>
      <c r="C4" s="849"/>
      <c r="D4" s="914" t="s">
        <v>779</v>
      </c>
      <c r="E4" s="914"/>
      <c r="F4" s="914"/>
      <c r="G4" s="914" t="s">
        <v>780</v>
      </c>
      <c r="H4" s="914"/>
      <c r="I4" s="914"/>
      <c r="J4" s="914"/>
      <c r="K4" s="914"/>
      <c r="L4" s="914"/>
      <c r="M4" s="849" t="s">
        <v>781</v>
      </c>
      <c r="N4" s="849" t="s">
        <v>782</v>
      </c>
      <c r="O4" s="849" t="s">
        <v>34</v>
      </c>
      <c r="P4" s="849" t="s">
        <v>168</v>
      </c>
      <c r="Q4" s="849"/>
      <c r="R4" s="849" t="s">
        <v>169</v>
      </c>
      <c r="S4" s="849"/>
      <c r="T4" s="849" t="s">
        <v>170</v>
      </c>
      <c r="U4" s="849"/>
      <c r="V4" s="849" t="s">
        <v>783</v>
      </c>
      <c r="W4" s="849"/>
      <c r="X4" s="786" t="s">
        <v>34</v>
      </c>
      <c r="Y4" s="833" t="s">
        <v>784</v>
      </c>
      <c r="Z4" s="849" t="s">
        <v>778</v>
      </c>
      <c r="AA4" s="849"/>
      <c r="AB4" s="849" t="s">
        <v>785</v>
      </c>
      <c r="AC4" s="849"/>
      <c r="AD4" s="786" t="s">
        <v>34</v>
      </c>
    </row>
    <row r="5" spans="1:30" s="178" customFormat="1" ht="40" customHeight="1">
      <c r="A5" s="849"/>
      <c r="B5" s="849"/>
      <c r="C5" s="849"/>
      <c r="D5" s="796" t="s">
        <v>529</v>
      </c>
      <c r="E5" s="796" t="s">
        <v>786</v>
      </c>
      <c r="F5" s="786" t="s">
        <v>787</v>
      </c>
      <c r="G5" s="796" t="s">
        <v>788</v>
      </c>
      <c r="H5" s="786" t="s">
        <v>789</v>
      </c>
      <c r="I5" s="786" t="s">
        <v>790</v>
      </c>
      <c r="J5" s="786" t="s">
        <v>791</v>
      </c>
      <c r="K5" s="786" t="s">
        <v>792</v>
      </c>
      <c r="L5" s="786" t="s">
        <v>793</v>
      </c>
      <c r="M5" s="914"/>
      <c r="N5" s="914"/>
      <c r="O5" s="849"/>
      <c r="P5" s="786" t="s">
        <v>794</v>
      </c>
      <c r="Q5" s="787" t="s">
        <v>795</v>
      </c>
      <c r="R5" s="786" t="s">
        <v>794</v>
      </c>
      <c r="S5" s="787" t="s">
        <v>795</v>
      </c>
      <c r="T5" s="786" t="s">
        <v>794</v>
      </c>
      <c r="U5" s="787" t="s">
        <v>795</v>
      </c>
      <c r="V5" s="786" t="s">
        <v>794</v>
      </c>
      <c r="W5" s="787" t="s">
        <v>795</v>
      </c>
      <c r="X5" s="786" t="s">
        <v>794</v>
      </c>
      <c r="Y5" s="834"/>
      <c r="Z5" s="786" t="s">
        <v>796</v>
      </c>
      <c r="AA5" s="786" t="s">
        <v>797</v>
      </c>
      <c r="AB5" s="786" t="s">
        <v>798</v>
      </c>
      <c r="AC5" s="786" t="s">
        <v>797</v>
      </c>
      <c r="AD5" s="786" t="s">
        <v>797</v>
      </c>
    </row>
    <row r="6" spans="1:30" s="10" customFormat="1" ht="14.15" customHeight="1">
      <c r="A6" s="912" t="s">
        <v>507</v>
      </c>
      <c r="B6" s="339">
        <v>6</v>
      </c>
      <c r="C6" s="339" t="s">
        <v>687</v>
      </c>
      <c r="D6" s="339">
        <v>0</v>
      </c>
      <c r="E6" s="339">
        <v>0</v>
      </c>
      <c r="F6" s="339">
        <v>0</v>
      </c>
      <c r="G6" s="339">
        <v>0</v>
      </c>
      <c r="H6" s="339">
        <v>0</v>
      </c>
      <c r="I6" s="339">
        <v>0</v>
      </c>
      <c r="J6" s="339">
        <v>3334</v>
      </c>
      <c r="K6" s="339">
        <v>10</v>
      </c>
      <c r="L6" s="339">
        <v>3011</v>
      </c>
      <c r="M6" s="231">
        <v>0</v>
      </c>
      <c r="N6" s="231">
        <v>2420</v>
      </c>
      <c r="O6" s="231">
        <f t="shared" ref="O6:O12" si="0">D6+E6+F6+G6+H6+J6+L6+M6+N6</f>
        <v>8765</v>
      </c>
      <c r="P6" s="231">
        <v>6345</v>
      </c>
      <c r="Q6" s="236">
        <f>+ROUND(P6/X6*100,1)</f>
        <v>100</v>
      </c>
      <c r="R6" s="231">
        <v>0</v>
      </c>
      <c r="S6" s="236">
        <f>+ROUND(R6/X6*100,1)</f>
        <v>0</v>
      </c>
      <c r="T6" s="231">
        <v>0</v>
      </c>
      <c r="U6" s="236">
        <f t="shared" ref="U6:U12" si="1">+ROUND(T6/X6*100,1)</f>
        <v>0</v>
      </c>
      <c r="V6" s="231">
        <v>0</v>
      </c>
      <c r="W6" s="236">
        <f t="shared" ref="W6:W12" si="2">+ROUND(V6/X6*100,1)</f>
        <v>0</v>
      </c>
      <c r="X6" s="306">
        <f t="shared" ref="X6:X12" si="3">P6+R6+T6+V6</f>
        <v>6345</v>
      </c>
      <c r="Y6" s="231">
        <v>816</v>
      </c>
      <c r="Z6" s="231">
        <v>40</v>
      </c>
      <c r="AA6" s="231">
        <v>21109</v>
      </c>
      <c r="AB6" s="231">
        <v>0</v>
      </c>
      <c r="AC6" s="231">
        <v>0</v>
      </c>
      <c r="AD6" s="231">
        <f t="shared" ref="AD6:AD12" si="4">AA6+AC6</f>
        <v>21109</v>
      </c>
    </row>
    <row r="7" spans="1:30" s="10" customFormat="1" ht="14.15" customHeight="1">
      <c r="A7" s="912"/>
      <c r="B7" s="340">
        <v>42</v>
      </c>
      <c r="C7" s="340" t="s">
        <v>690</v>
      </c>
      <c r="D7" s="340">
        <v>0</v>
      </c>
      <c r="E7" s="340">
        <v>0</v>
      </c>
      <c r="F7" s="341">
        <v>0</v>
      </c>
      <c r="G7" s="340">
        <v>0</v>
      </c>
      <c r="H7" s="340">
        <v>0</v>
      </c>
      <c r="I7" s="340">
        <v>0</v>
      </c>
      <c r="J7" s="340">
        <v>0</v>
      </c>
      <c r="K7" s="340">
        <v>0</v>
      </c>
      <c r="L7" s="340">
        <v>724</v>
      </c>
      <c r="M7" s="239">
        <v>0</v>
      </c>
      <c r="N7" s="239">
        <v>0</v>
      </c>
      <c r="O7" s="239">
        <f t="shared" si="0"/>
        <v>724</v>
      </c>
      <c r="P7" s="239">
        <v>557</v>
      </c>
      <c r="Q7" s="244">
        <f t="shared" ref="Q7:Q12" si="5">+ROUND(P7/X7*100,1)</f>
        <v>100</v>
      </c>
      <c r="R7" s="239">
        <v>0</v>
      </c>
      <c r="S7" s="244">
        <f t="shared" ref="S7:S12" si="6">+ROUND(R7/X7*100,1)</f>
        <v>0</v>
      </c>
      <c r="T7" s="239">
        <v>0</v>
      </c>
      <c r="U7" s="244">
        <f t="shared" si="1"/>
        <v>0</v>
      </c>
      <c r="V7" s="239">
        <v>0</v>
      </c>
      <c r="W7" s="244">
        <f t="shared" si="2"/>
        <v>0</v>
      </c>
      <c r="X7" s="239">
        <f t="shared" si="3"/>
        <v>557</v>
      </c>
      <c r="Y7" s="239">
        <v>0</v>
      </c>
      <c r="Z7" s="239">
        <v>15</v>
      </c>
      <c r="AA7" s="239">
        <v>4158</v>
      </c>
      <c r="AB7" s="239">
        <v>0</v>
      </c>
      <c r="AC7" s="239">
        <v>0</v>
      </c>
      <c r="AD7" s="239">
        <f t="shared" si="4"/>
        <v>4158</v>
      </c>
    </row>
    <row r="8" spans="1:30" s="10" customFormat="1" ht="14.15" customHeight="1">
      <c r="A8" s="912"/>
      <c r="B8" s="340">
        <v>13</v>
      </c>
      <c r="C8" s="340" t="s">
        <v>691</v>
      </c>
      <c r="D8" s="340">
        <v>0</v>
      </c>
      <c r="E8" s="340">
        <v>0</v>
      </c>
      <c r="F8" s="340">
        <v>1040</v>
      </c>
      <c r="G8" s="340">
        <v>0</v>
      </c>
      <c r="H8" s="340">
        <v>0</v>
      </c>
      <c r="I8" s="340">
        <v>0</v>
      </c>
      <c r="J8" s="340">
        <v>1222</v>
      </c>
      <c r="K8" s="340">
        <v>13</v>
      </c>
      <c r="L8" s="340">
        <v>1284</v>
      </c>
      <c r="M8" s="239">
        <v>0</v>
      </c>
      <c r="N8" s="239">
        <v>1121</v>
      </c>
      <c r="O8" s="239">
        <f t="shared" si="0"/>
        <v>4667</v>
      </c>
      <c r="P8" s="239">
        <v>2506</v>
      </c>
      <c r="Q8" s="244">
        <f t="shared" si="5"/>
        <v>70.7</v>
      </c>
      <c r="R8" s="239">
        <v>759</v>
      </c>
      <c r="S8" s="244">
        <f t="shared" si="6"/>
        <v>21.4</v>
      </c>
      <c r="T8" s="239">
        <v>281</v>
      </c>
      <c r="U8" s="244">
        <f t="shared" si="1"/>
        <v>7.9</v>
      </c>
      <c r="V8" s="239">
        <v>0</v>
      </c>
      <c r="W8" s="244">
        <f t="shared" si="2"/>
        <v>0</v>
      </c>
      <c r="X8" s="239">
        <f t="shared" si="3"/>
        <v>3546</v>
      </c>
      <c r="Y8" s="239">
        <v>0</v>
      </c>
      <c r="Z8" s="239">
        <v>17</v>
      </c>
      <c r="AA8" s="239">
        <v>10908</v>
      </c>
      <c r="AB8" s="239">
        <v>0</v>
      </c>
      <c r="AC8" s="239">
        <v>0</v>
      </c>
      <c r="AD8" s="239">
        <f t="shared" si="4"/>
        <v>10908</v>
      </c>
    </row>
    <row r="9" spans="1:30" s="10" customFormat="1" ht="14.15" customHeight="1">
      <c r="A9" s="912"/>
      <c r="B9" s="340">
        <v>90</v>
      </c>
      <c r="C9" s="340" t="s">
        <v>799</v>
      </c>
      <c r="D9" s="340">
        <v>0</v>
      </c>
      <c r="E9" s="340">
        <v>0</v>
      </c>
      <c r="F9" s="340">
        <v>0</v>
      </c>
      <c r="G9" s="340">
        <v>377</v>
      </c>
      <c r="H9" s="340">
        <v>0</v>
      </c>
      <c r="I9" s="340">
        <v>0</v>
      </c>
      <c r="J9" s="340">
        <v>283</v>
      </c>
      <c r="K9" s="340">
        <v>3</v>
      </c>
      <c r="L9" s="340">
        <v>0</v>
      </c>
      <c r="M9" s="239">
        <v>0</v>
      </c>
      <c r="N9" s="239">
        <v>434</v>
      </c>
      <c r="O9" s="239">
        <f t="shared" si="0"/>
        <v>1094</v>
      </c>
      <c r="P9" s="239">
        <v>660</v>
      </c>
      <c r="Q9" s="244">
        <f t="shared" si="5"/>
        <v>100</v>
      </c>
      <c r="R9" s="239">
        <v>0</v>
      </c>
      <c r="S9" s="244">
        <f t="shared" si="6"/>
        <v>0</v>
      </c>
      <c r="T9" s="239">
        <v>0</v>
      </c>
      <c r="U9" s="244">
        <f t="shared" si="1"/>
        <v>0</v>
      </c>
      <c r="V9" s="239">
        <v>0</v>
      </c>
      <c r="W9" s="244">
        <f t="shared" si="2"/>
        <v>0</v>
      </c>
      <c r="X9" s="239">
        <f t="shared" si="3"/>
        <v>660</v>
      </c>
      <c r="Y9" s="239">
        <v>0</v>
      </c>
      <c r="Z9" s="239">
        <v>9</v>
      </c>
      <c r="AA9" s="239">
        <v>3097</v>
      </c>
      <c r="AB9" s="239">
        <v>0</v>
      </c>
      <c r="AC9" s="239">
        <v>0</v>
      </c>
      <c r="AD9" s="239">
        <f t="shared" si="4"/>
        <v>3097</v>
      </c>
    </row>
    <row r="10" spans="1:30" s="10" customFormat="1" ht="14.15" customHeight="1">
      <c r="A10" s="912"/>
      <c r="B10" s="340">
        <v>50</v>
      </c>
      <c r="C10" s="340" t="s">
        <v>696</v>
      </c>
      <c r="D10" s="340">
        <v>0</v>
      </c>
      <c r="E10" s="340">
        <v>0</v>
      </c>
      <c r="F10" s="340">
        <v>0</v>
      </c>
      <c r="G10" s="340">
        <v>0</v>
      </c>
      <c r="H10" s="340">
        <v>0</v>
      </c>
      <c r="I10" s="340">
        <v>0</v>
      </c>
      <c r="J10" s="340">
        <v>0</v>
      </c>
      <c r="K10" s="340">
        <v>0</v>
      </c>
      <c r="L10" s="340">
        <v>1510</v>
      </c>
      <c r="M10" s="239">
        <v>0</v>
      </c>
      <c r="N10" s="239">
        <v>0</v>
      </c>
      <c r="O10" s="239">
        <f t="shared" si="0"/>
        <v>1510</v>
      </c>
      <c r="P10" s="239">
        <v>1510</v>
      </c>
      <c r="Q10" s="244">
        <f t="shared" si="5"/>
        <v>100</v>
      </c>
      <c r="R10" s="239">
        <v>0</v>
      </c>
      <c r="S10" s="244">
        <f t="shared" si="6"/>
        <v>0</v>
      </c>
      <c r="T10" s="239">
        <v>0</v>
      </c>
      <c r="U10" s="244">
        <f t="shared" si="1"/>
        <v>0</v>
      </c>
      <c r="V10" s="239">
        <v>0</v>
      </c>
      <c r="W10" s="244">
        <f t="shared" si="2"/>
        <v>0</v>
      </c>
      <c r="X10" s="239">
        <f t="shared" si="3"/>
        <v>1510</v>
      </c>
      <c r="Y10" s="239">
        <v>0</v>
      </c>
      <c r="Z10" s="239">
        <v>5</v>
      </c>
      <c r="AA10" s="239">
        <v>3782</v>
      </c>
      <c r="AB10" s="239">
        <v>0</v>
      </c>
      <c r="AC10" s="239">
        <v>0</v>
      </c>
      <c r="AD10" s="239">
        <f t="shared" si="4"/>
        <v>3782</v>
      </c>
    </row>
    <row r="11" spans="1:30" s="10" customFormat="1" ht="14.15" customHeight="1">
      <c r="A11" s="912"/>
      <c r="B11" s="340">
        <v>37</v>
      </c>
      <c r="C11" s="340" t="s">
        <v>699</v>
      </c>
      <c r="D11" s="340">
        <v>0</v>
      </c>
      <c r="E11" s="340">
        <v>0</v>
      </c>
      <c r="F11" s="340">
        <v>0</v>
      </c>
      <c r="G11" s="340">
        <v>0</v>
      </c>
      <c r="H11" s="340">
        <v>1637</v>
      </c>
      <c r="I11" s="340">
        <v>2</v>
      </c>
      <c r="J11" s="340">
        <v>3922</v>
      </c>
      <c r="K11" s="340">
        <v>27</v>
      </c>
      <c r="L11" s="340">
        <v>7208</v>
      </c>
      <c r="M11" s="239">
        <v>0</v>
      </c>
      <c r="N11" s="239">
        <v>2657</v>
      </c>
      <c r="O11" s="239">
        <f t="shared" si="0"/>
        <v>15424</v>
      </c>
      <c r="P11" s="239">
        <v>11942</v>
      </c>
      <c r="Q11" s="244">
        <f t="shared" si="5"/>
        <v>93.5</v>
      </c>
      <c r="R11" s="239">
        <v>0</v>
      </c>
      <c r="S11" s="244">
        <f t="shared" si="6"/>
        <v>0</v>
      </c>
      <c r="T11" s="239">
        <v>825</v>
      </c>
      <c r="U11" s="244">
        <f t="shared" si="1"/>
        <v>6.5</v>
      </c>
      <c r="V11" s="239">
        <v>0</v>
      </c>
      <c r="W11" s="244">
        <f t="shared" si="2"/>
        <v>0</v>
      </c>
      <c r="X11" s="239">
        <f t="shared" si="3"/>
        <v>12767</v>
      </c>
      <c r="Y11" s="239">
        <v>0</v>
      </c>
      <c r="Z11" s="239">
        <v>77</v>
      </c>
      <c r="AA11" s="239">
        <v>39128</v>
      </c>
      <c r="AB11" s="239">
        <v>0</v>
      </c>
      <c r="AC11" s="239">
        <v>0</v>
      </c>
      <c r="AD11" s="239">
        <f t="shared" si="4"/>
        <v>39128</v>
      </c>
    </row>
    <row r="12" spans="1:30" s="10" customFormat="1" ht="14.15" customHeight="1" thickBot="1">
      <c r="A12" s="912"/>
      <c r="B12" s="342">
        <v>86</v>
      </c>
      <c r="C12" s="342" t="s">
        <v>701</v>
      </c>
      <c r="D12" s="342">
        <v>0</v>
      </c>
      <c r="E12" s="342">
        <v>0</v>
      </c>
      <c r="F12" s="342">
        <v>0</v>
      </c>
      <c r="G12" s="342">
        <v>0</v>
      </c>
      <c r="H12" s="342">
        <v>66</v>
      </c>
      <c r="I12" s="342">
        <v>1</v>
      </c>
      <c r="J12" s="342">
        <v>640</v>
      </c>
      <c r="K12" s="342">
        <v>4</v>
      </c>
      <c r="L12" s="342">
        <v>0</v>
      </c>
      <c r="M12" s="247">
        <v>0</v>
      </c>
      <c r="N12" s="247">
        <v>0</v>
      </c>
      <c r="O12" s="247">
        <f t="shared" si="0"/>
        <v>706</v>
      </c>
      <c r="P12" s="247">
        <v>704</v>
      </c>
      <c r="Q12" s="251">
        <f t="shared" si="5"/>
        <v>100</v>
      </c>
      <c r="R12" s="247">
        <v>0</v>
      </c>
      <c r="S12" s="251">
        <f t="shared" si="6"/>
        <v>0</v>
      </c>
      <c r="T12" s="247">
        <v>0</v>
      </c>
      <c r="U12" s="251">
        <f t="shared" si="1"/>
        <v>0</v>
      </c>
      <c r="V12" s="247">
        <v>0</v>
      </c>
      <c r="W12" s="251">
        <f t="shared" si="2"/>
        <v>0</v>
      </c>
      <c r="X12" s="239">
        <f t="shared" si="3"/>
        <v>704</v>
      </c>
      <c r="Y12" s="247">
        <v>0</v>
      </c>
      <c r="Z12" s="293">
        <v>5</v>
      </c>
      <c r="AA12" s="247">
        <v>1896</v>
      </c>
      <c r="AB12" s="247">
        <v>0</v>
      </c>
      <c r="AC12" s="247">
        <v>0</v>
      </c>
      <c r="AD12" s="247">
        <f t="shared" si="4"/>
        <v>1896</v>
      </c>
    </row>
    <row r="13" spans="1:30" s="343" customFormat="1" ht="14.15" customHeight="1" thickTop="1">
      <c r="A13" s="912"/>
      <c r="B13" s="252"/>
      <c r="C13" s="253" t="s">
        <v>34</v>
      </c>
      <c r="D13" s="259">
        <f t="shared" ref="D13:P13" si="7">+SUM(D6:D12)</f>
        <v>0</v>
      </c>
      <c r="E13" s="259">
        <f t="shared" si="7"/>
        <v>0</v>
      </c>
      <c r="F13" s="259">
        <f t="shared" si="7"/>
        <v>1040</v>
      </c>
      <c r="G13" s="259">
        <f t="shared" si="7"/>
        <v>377</v>
      </c>
      <c r="H13" s="259">
        <f t="shared" si="7"/>
        <v>1703</v>
      </c>
      <c r="I13" s="259">
        <f t="shared" si="7"/>
        <v>3</v>
      </c>
      <c r="J13" s="259">
        <f t="shared" si="7"/>
        <v>9401</v>
      </c>
      <c r="K13" s="259">
        <f t="shared" si="7"/>
        <v>57</v>
      </c>
      <c r="L13" s="259">
        <f t="shared" si="7"/>
        <v>13737</v>
      </c>
      <c r="M13" s="259">
        <f t="shared" si="7"/>
        <v>0</v>
      </c>
      <c r="N13" s="259">
        <f t="shared" si="7"/>
        <v>6632</v>
      </c>
      <c r="O13" s="259">
        <f t="shared" si="7"/>
        <v>32890</v>
      </c>
      <c r="P13" s="259">
        <f t="shared" si="7"/>
        <v>24224</v>
      </c>
      <c r="Q13" s="261">
        <f>+ROUND(P13/X13*100,1)</f>
        <v>92.9</v>
      </c>
      <c r="R13" s="259">
        <f>+SUM(R6:R12)</f>
        <v>759</v>
      </c>
      <c r="S13" s="261">
        <f>+ROUND(R13/X13*100,1)</f>
        <v>2.9</v>
      </c>
      <c r="T13" s="259">
        <f>+SUM(T6:T12)</f>
        <v>1106</v>
      </c>
      <c r="U13" s="261">
        <f>+ROUND(T13/X13*100,1)</f>
        <v>4.2</v>
      </c>
      <c r="V13" s="259">
        <f>+SUM(V6:V12)</f>
        <v>0</v>
      </c>
      <c r="W13" s="261">
        <f>+ROUND(V13/X13*100,1)</f>
        <v>0</v>
      </c>
      <c r="X13" s="259">
        <f t="shared" ref="X13:AD13" si="8">+SUM(X6:X12)</f>
        <v>26089</v>
      </c>
      <c r="Y13" s="259">
        <f t="shared" si="8"/>
        <v>816</v>
      </c>
      <c r="Z13" s="259">
        <f t="shared" si="8"/>
        <v>168</v>
      </c>
      <c r="AA13" s="259">
        <f t="shared" si="8"/>
        <v>84078</v>
      </c>
      <c r="AB13" s="259">
        <f t="shared" si="8"/>
        <v>0</v>
      </c>
      <c r="AC13" s="259">
        <f t="shared" si="8"/>
        <v>0</v>
      </c>
      <c r="AD13" s="259">
        <f t="shared" si="8"/>
        <v>84078</v>
      </c>
    </row>
    <row r="14" spans="1:30" s="343" customFormat="1" ht="14.15" customHeight="1">
      <c r="A14" s="912"/>
      <c r="B14" s="263"/>
      <c r="C14" s="264"/>
      <c r="D14" s="270"/>
      <c r="E14" s="270"/>
      <c r="F14" s="270"/>
      <c r="G14" s="270"/>
      <c r="H14" s="270"/>
      <c r="I14" s="270"/>
      <c r="J14" s="270"/>
      <c r="K14" s="270"/>
      <c r="L14" s="270"/>
      <c r="M14" s="270"/>
      <c r="N14" s="270"/>
      <c r="O14" s="270"/>
      <c r="P14" s="270"/>
      <c r="Q14" s="272"/>
      <c r="R14" s="270"/>
      <c r="S14" s="272"/>
      <c r="T14" s="270"/>
      <c r="U14" s="272"/>
      <c r="V14" s="270"/>
      <c r="W14" s="272"/>
      <c r="X14" s="270"/>
      <c r="Y14" s="270"/>
      <c r="Z14" s="270"/>
      <c r="AA14" s="270"/>
      <c r="AB14" s="270"/>
      <c r="AC14" s="270"/>
      <c r="AD14" s="270"/>
    </row>
    <row r="15" spans="1:30" s="10" customFormat="1" ht="14.15" customHeight="1">
      <c r="A15" s="912" t="s">
        <v>704</v>
      </c>
      <c r="B15" s="339">
        <v>3</v>
      </c>
      <c r="C15" s="339" t="s">
        <v>705</v>
      </c>
      <c r="D15" s="339">
        <v>9556</v>
      </c>
      <c r="E15" s="344">
        <v>0</v>
      </c>
      <c r="F15" s="306">
        <v>9767</v>
      </c>
      <c r="G15" s="344">
        <v>30</v>
      </c>
      <c r="H15" s="339">
        <v>6</v>
      </c>
      <c r="I15" s="339">
        <v>1</v>
      </c>
      <c r="J15" s="339">
        <v>222</v>
      </c>
      <c r="K15" s="339">
        <v>4</v>
      </c>
      <c r="L15" s="339">
        <v>1531</v>
      </c>
      <c r="M15" s="339">
        <v>0</v>
      </c>
      <c r="N15" s="231">
        <v>0</v>
      </c>
      <c r="O15" s="231">
        <f>D15+E15+F15+G15+H15+J15+L15+M15+N15</f>
        <v>21112</v>
      </c>
      <c r="P15" s="231">
        <v>1759</v>
      </c>
      <c r="Q15" s="236">
        <f t="shared" ref="Q15:Q17" si="9">+ROUND(P15/X15*100,1)</f>
        <v>10.199999999999999</v>
      </c>
      <c r="R15" s="231">
        <v>12362</v>
      </c>
      <c r="S15" s="236">
        <f t="shared" ref="S15:S17" si="10">+ROUND(R15/X15*100,1)</f>
        <v>71.599999999999994</v>
      </c>
      <c r="T15" s="231">
        <v>2777</v>
      </c>
      <c r="U15" s="236">
        <f t="shared" ref="U15:U17" si="11">+ROUND(T15/X15*100,1)</f>
        <v>16.100000000000001</v>
      </c>
      <c r="V15" s="231">
        <v>372</v>
      </c>
      <c r="W15" s="236">
        <f t="shared" ref="W15:W17" si="12">+ROUND(V15/X15*100,1)</f>
        <v>2.2000000000000002</v>
      </c>
      <c r="X15" s="306">
        <f t="shared" ref="X15:X17" si="13">P15+R15+T15+V15</f>
        <v>17270</v>
      </c>
      <c r="Y15" s="231">
        <v>0</v>
      </c>
      <c r="Z15" s="231">
        <v>101</v>
      </c>
      <c r="AA15" s="231">
        <v>52977</v>
      </c>
      <c r="AB15" s="231">
        <v>0</v>
      </c>
      <c r="AC15" s="231">
        <v>0</v>
      </c>
      <c r="AD15" s="231">
        <f>AA15+AC15</f>
        <v>52977</v>
      </c>
    </row>
    <row r="16" spans="1:30" s="10" customFormat="1" ht="14.15" customHeight="1">
      <c r="A16" s="912"/>
      <c r="B16" s="340">
        <v>53</v>
      </c>
      <c r="C16" s="340" t="s">
        <v>707</v>
      </c>
      <c r="D16" s="340">
        <v>0</v>
      </c>
      <c r="E16" s="340">
        <v>0</v>
      </c>
      <c r="F16" s="239">
        <v>0</v>
      </c>
      <c r="G16" s="340">
        <v>0</v>
      </c>
      <c r="H16" s="340">
        <v>0</v>
      </c>
      <c r="I16" s="340">
        <v>0</v>
      </c>
      <c r="J16" s="340">
        <v>2919</v>
      </c>
      <c r="K16" s="340">
        <v>19</v>
      </c>
      <c r="L16" s="340">
        <v>598</v>
      </c>
      <c r="M16" s="340">
        <v>0</v>
      </c>
      <c r="N16" s="239">
        <v>146</v>
      </c>
      <c r="O16" s="239">
        <f>D16+E16+F16+G16+H16+J16+L16+M16+N16</f>
        <v>3663</v>
      </c>
      <c r="P16" s="239">
        <v>3517</v>
      </c>
      <c r="Q16" s="244">
        <f t="shared" si="9"/>
        <v>100</v>
      </c>
      <c r="R16" s="239">
        <v>0</v>
      </c>
      <c r="S16" s="244">
        <f t="shared" si="10"/>
        <v>0</v>
      </c>
      <c r="T16" s="345">
        <v>0</v>
      </c>
      <c r="U16" s="244">
        <f t="shared" si="11"/>
        <v>0</v>
      </c>
      <c r="V16" s="239">
        <v>0</v>
      </c>
      <c r="W16" s="244">
        <f t="shared" si="12"/>
        <v>0</v>
      </c>
      <c r="X16" s="239">
        <f t="shared" si="13"/>
        <v>3517</v>
      </c>
      <c r="Y16" s="239">
        <v>0</v>
      </c>
      <c r="Z16" s="239">
        <v>38</v>
      </c>
      <c r="AA16" s="239">
        <v>19786</v>
      </c>
      <c r="AB16" s="239">
        <v>0</v>
      </c>
      <c r="AC16" s="239">
        <v>0</v>
      </c>
      <c r="AD16" s="239">
        <f t="shared" ref="AD16:AD17" si="14">AA16+AC16</f>
        <v>19786</v>
      </c>
    </row>
    <row r="17" spans="1:30" s="10" customFormat="1" ht="14.15" customHeight="1" thickBot="1">
      <c r="A17" s="912"/>
      <c r="B17" s="340">
        <v>92</v>
      </c>
      <c r="C17" s="340" t="s">
        <v>708</v>
      </c>
      <c r="D17" s="340">
        <v>0</v>
      </c>
      <c r="E17" s="340">
        <v>0</v>
      </c>
      <c r="F17" s="239">
        <v>0</v>
      </c>
      <c r="G17" s="340">
        <v>0</v>
      </c>
      <c r="H17" s="340">
        <v>26</v>
      </c>
      <c r="I17" s="340">
        <v>2</v>
      </c>
      <c r="J17" s="340">
        <v>306</v>
      </c>
      <c r="K17" s="340">
        <v>5</v>
      </c>
      <c r="L17" s="340">
        <v>999</v>
      </c>
      <c r="M17" s="340">
        <v>0</v>
      </c>
      <c r="N17" s="239">
        <v>0</v>
      </c>
      <c r="O17" s="239">
        <f>D17+E17+F17+G17+H17+J17+L17+M17+N17</f>
        <v>1331</v>
      </c>
      <c r="P17" s="239">
        <v>1331</v>
      </c>
      <c r="Q17" s="244">
        <f t="shared" si="9"/>
        <v>100</v>
      </c>
      <c r="R17" s="239">
        <v>0</v>
      </c>
      <c r="S17" s="244">
        <f t="shared" si="10"/>
        <v>0</v>
      </c>
      <c r="T17" s="239">
        <v>0</v>
      </c>
      <c r="U17" s="244">
        <f t="shared" si="11"/>
        <v>0</v>
      </c>
      <c r="V17" s="239">
        <v>0</v>
      </c>
      <c r="W17" s="244">
        <f t="shared" si="12"/>
        <v>0</v>
      </c>
      <c r="X17" s="239">
        <f t="shared" si="13"/>
        <v>1331</v>
      </c>
      <c r="Y17" s="239">
        <v>0</v>
      </c>
      <c r="Z17" s="239">
        <v>30</v>
      </c>
      <c r="AA17" s="239">
        <v>5201</v>
      </c>
      <c r="AB17" s="239">
        <v>0</v>
      </c>
      <c r="AC17" s="239">
        <v>0</v>
      </c>
      <c r="AD17" s="239">
        <f t="shared" si="14"/>
        <v>5201</v>
      </c>
    </row>
    <row r="18" spans="1:30" s="343" customFormat="1" ht="14.15" customHeight="1" thickTop="1">
      <c r="A18" s="912"/>
      <c r="B18" s="252"/>
      <c r="C18" s="253" t="s">
        <v>34</v>
      </c>
      <c r="D18" s="259">
        <f t="shared" ref="D18:P18" si="15">+SUM(D15:D17)</f>
        <v>9556</v>
      </c>
      <c r="E18" s="259">
        <f t="shared" si="15"/>
        <v>0</v>
      </c>
      <c r="F18" s="259">
        <f t="shared" si="15"/>
        <v>9767</v>
      </c>
      <c r="G18" s="259">
        <f t="shared" si="15"/>
        <v>30</v>
      </c>
      <c r="H18" s="259">
        <f t="shared" si="15"/>
        <v>32</v>
      </c>
      <c r="I18" s="259">
        <f t="shared" si="15"/>
        <v>3</v>
      </c>
      <c r="J18" s="259">
        <f t="shared" si="15"/>
        <v>3447</v>
      </c>
      <c r="K18" s="259">
        <f t="shared" si="15"/>
        <v>28</v>
      </c>
      <c r="L18" s="259">
        <f t="shared" si="15"/>
        <v>3128</v>
      </c>
      <c r="M18" s="259">
        <f>+SUM(M15:M17)</f>
        <v>0</v>
      </c>
      <c r="N18" s="259">
        <f>+SUM(N15:N17)</f>
        <v>146</v>
      </c>
      <c r="O18" s="259">
        <f t="shared" si="15"/>
        <v>26106</v>
      </c>
      <c r="P18" s="259">
        <f t="shared" si="15"/>
        <v>6607</v>
      </c>
      <c r="Q18" s="261">
        <f>+ROUND(P18/X18*100,1)</f>
        <v>29.9</v>
      </c>
      <c r="R18" s="259">
        <f>+SUM(R15:R17)</f>
        <v>12362</v>
      </c>
      <c r="S18" s="261">
        <f>+ROUND(R18/X18*100,1)</f>
        <v>55.9</v>
      </c>
      <c r="T18" s="259">
        <f>+SUM(T15:T17)</f>
        <v>2777</v>
      </c>
      <c r="U18" s="261">
        <f>+ROUND(T18/X18*100,1)</f>
        <v>12.6</v>
      </c>
      <c r="V18" s="259">
        <f>+SUM(V15:V17)</f>
        <v>372</v>
      </c>
      <c r="W18" s="261">
        <f>ROUND(V18/X18*100,1)</f>
        <v>1.7</v>
      </c>
      <c r="X18" s="259">
        <f t="shared" ref="X18:AD18" si="16">+SUM(X15:X17)</f>
        <v>22118</v>
      </c>
      <c r="Y18" s="259">
        <f t="shared" si="16"/>
        <v>0</v>
      </c>
      <c r="Z18" s="259">
        <f t="shared" si="16"/>
        <v>169</v>
      </c>
      <c r="AA18" s="259">
        <f t="shared" si="16"/>
        <v>77964</v>
      </c>
      <c r="AB18" s="259">
        <f t="shared" si="16"/>
        <v>0</v>
      </c>
      <c r="AC18" s="259">
        <f t="shared" si="16"/>
        <v>0</v>
      </c>
      <c r="AD18" s="259">
        <f t="shared" si="16"/>
        <v>77964</v>
      </c>
    </row>
    <row r="19" spans="1:30" s="343" customFormat="1" ht="14.15" customHeight="1">
      <c r="A19" s="912"/>
      <c r="B19" s="263"/>
      <c r="C19" s="264"/>
      <c r="D19" s="270"/>
      <c r="E19" s="270"/>
      <c r="F19" s="270"/>
      <c r="G19" s="270"/>
      <c r="H19" s="270"/>
      <c r="I19" s="270"/>
      <c r="J19" s="270"/>
      <c r="K19" s="270"/>
      <c r="L19" s="270"/>
      <c r="M19" s="270"/>
      <c r="N19" s="270"/>
      <c r="O19" s="270"/>
      <c r="P19" s="270"/>
      <c r="Q19" s="272"/>
      <c r="R19" s="270"/>
      <c r="S19" s="272"/>
      <c r="T19" s="270"/>
      <c r="U19" s="272"/>
      <c r="V19" s="270"/>
      <c r="W19" s="272"/>
      <c r="X19" s="270"/>
      <c r="Y19" s="270"/>
      <c r="Z19" s="270"/>
      <c r="AA19" s="270"/>
      <c r="AB19" s="270"/>
      <c r="AC19" s="270"/>
      <c r="AD19" s="270"/>
    </row>
    <row r="20" spans="1:30" s="10" customFormat="1" ht="14.15" customHeight="1">
      <c r="A20" s="912" t="s">
        <v>711</v>
      </c>
      <c r="B20" s="339">
        <v>14</v>
      </c>
      <c r="C20" s="339" t="s">
        <v>712</v>
      </c>
      <c r="D20" s="339">
        <v>0</v>
      </c>
      <c r="E20" s="339">
        <v>0</v>
      </c>
      <c r="F20" s="339">
        <v>1139</v>
      </c>
      <c r="G20" s="339">
        <v>0</v>
      </c>
      <c r="H20" s="339">
        <v>0</v>
      </c>
      <c r="I20" s="339">
        <v>0</v>
      </c>
      <c r="J20" s="339">
        <v>6153</v>
      </c>
      <c r="K20" s="339">
        <v>15</v>
      </c>
      <c r="L20" s="339">
        <v>0</v>
      </c>
      <c r="M20" s="339">
        <v>0</v>
      </c>
      <c r="N20" s="231">
        <v>0</v>
      </c>
      <c r="O20" s="231">
        <f t="shared" ref="O20:O30" si="17">D20+E20+F20+G20+H20+J20+L20+M20+N20</f>
        <v>7292</v>
      </c>
      <c r="P20" s="231">
        <v>6153</v>
      </c>
      <c r="Q20" s="236">
        <f t="shared" ref="Q20:Q30" si="18">+ROUND(P20/X20*100,1)</f>
        <v>84.4</v>
      </c>
      <c r="R20" s="231">
        <v>0</v>
      </c>
      <c r="S20" s="236">
        <f t="shared" ref="S20:S30" si="19">+ROUND(R20/X20*100,1)</f>
        <v>0</v>
      </c>
      <c r="T20" s="231">
        <v>1139</v>
      </c>
      <c r="U20" s="236">
        <f t="shared" ref="U20:U30" si="20">+ROUND(T20/X20*100,1)</f>
        <v>15.6</v>
      </c>
      <c r="V20" s="231">
        <v>0</v>
      </c>
      <c r="W20" s="236">
        <f t="shared" ref="W20:W30" si="21">+ROUND(V20/X20*100,1)</f>
        <v>0</v>
      </c>
      <c r="X20" s="306">
        <f t="shared" ref="X20:X30" si="22">P20+R20+T20+V20</f>
        <v>7292</v>
      </c>
      <c r="Y20" s="231">
        <v>4022</v>
      </c>
      <c r="Z20" s="231">
        <v>26</v>
      </c>
      <c r="AA20" s="231">
        <v>13561</v>
      </c>
      <c r="AB20" s="231">
        <v>0</v>
      </c>
      <c r="AC20" s="231">
        <v>0</v>
      </c>
      <c r="AD20" s="231">
        <f t="shared" ref="AD20:AD30" si="23">AA20+AC20</f>
        <v>13561</v>
      </c>
    </row>
    <row r="21" spans="1:30" s="10" customFormat="1" ht="14.15" customHeight="1">
      <c r="A21" s="912"/>
      <c r="B21" s="340">
        <v>5</v>
      </c>
      <c r="C21" s="340" t="s">
        <v>714</v>
      </c>
      <c r="D21" s="340">
        <v>0</v>
      </c>
      <c r="E21" s="340">
        <v>0</v>
      </c>
      <c r="F21" s="340">
        <v>0</v>
      </c>
      <c r="G21" s="340">
        <v>0</v>
      </c>
      <c r="H21" s="340">
        <v>0</v>
      </c>
      <c r="I21" s="340">
        <v>0</v>
      </c>
      <c r="J21" s="340">
        <v>4973</v>
      </c>
      <c r="K21" s="340">
        <v>7</v>
      </c>
      <c r="L21" s="340">
        <v>3347</v>
      </c>
      <c r="M21" s="340">
        <v>0</v>
      </c>
      <c r="N21" s="239">
        <v>0</v>
      </c>
      <c r="O21" s="239">
        <f t="shared" si="17"/>
        <v>8320</v>
      </c>
      <c r="P21" s="239">
        <v>7936</v>
      </c>
      <c r="Q21" s="244">
        <f t="shared" si="18"/>
        <v>100</v>
      </c>
      <c r="R21" s="239">
        <v>0</v>
      </c>
      <c r="S21" s="244">
        <f t="shared" si="19"/>
        <v>0</v>
      </c>
      <c r="T21" s="239">
        <v>0</v>
      </c>
      <c r="U21" s="244">
        <f t="shared" si="20"/>
        <v>0</v>
      </c>
      <c r="V21" s="239">
        <v>0</v>
      </c>
      <c r="W21" s="244">
        <f t="shared" si="21"/>
        <v>0</v>
      </c>
      <c r="X21" s="239">
        <f t="shared" si="22"/>
        <v>7936</v>
      </c>
      <c r="Y21" s="239">
        <v>3028</v>
      </c>
      <c r="Z21" s="239">
        <v>15</v>
      </c>
      <c r="AA21" s="239">
        <v>17638</v>
      </c>
      <c r="AB21" s="239">
        <v>0</v>
      </c>
      <c r="AC21" s="239">
        <v>0</v>
      </c>
      <c r="AD21" s="239">
        <f t="shared" si="23"/>
        <v>17638</v>
      </c>
    </row>
    <row r="22" spans="1:30" s="10" customFormat="1" ht="14.15" customHeight="1">
      <c r="A22" s="912"/>
      <c r="B22" s="340">
        <v>45</v>
      </c>
      <c r="C22" s="340" t="s">
        <v>716</v>
      </c>
      <c r="D22" s="340">
        <v>0</v>
      </c>
      <c r="E22" s="340">
        <v>0</v>
      </c>
      <c r="F22" s="340">
        <v>0</v>
      </c>
      <c r="G22" s="340">
        <v>0</v>
      </c>
      <c r="H22" s="340">
        <v>0</v>
      </c>
      <c r="I22" s="340">
        <v>0</v>
      </c>
      <c r="J22" s="340">
        <v>5054</v>
      </c>
      <c r="K22" s="340">
        <v>22</v>
      </c>
      <c r="L22" s="340">
        <v>5705</v>
      </c>
      <c r="M22" s="340">
        <v>0</v>
      </c>
      <c r="N22" s="239">
        <v>0</v>
      </c>
      <c r="O22" s="239">
        <f t="shared" si="17"/>
        <v>10759</v>
      </c>
      <c r="P22" s="239">
        <v>9023</v>
      </c>
      <c r="Q22" s="244">
        <f t="shared" si="18"/>
        <v>100</v>
      </c>
      <c r="R22" s="239">
        <v>0</v>
      </c>
      <c r="S22" s="244">
        <f t="shared" si="19"/>
        <v>0</v>
      </c>
      <c r="T22" s="239">
        <v>0</v>
      </c>
      <c r="U22" s="244">
        <f t="shared" si="20"/>
        <v>0</v>
      </c>
      <c r="V22" s="239">
        <v>0</v>
      </c>
      <c r="W22" s="244">
        <f t="shared" si="21"/>
        <v>0</v>
      </c>
      <c r="X22" s="239">
        <f t="shared" si="22"/>
        <v>9023</v>
      </c>
      <c r="Y22" s="239">
        <v>0</v>
      </c>
      <c r="Z22" s="239">
        <v>54</v>
      </c>
      <c r="AA22" s="239">
        <v>22548</v>
      </c>
      <c r="AB22" s="239">
        <v>0</v>
      </c>
      <c r="AC22" s="239">
        <v>0</v>
      </c>
      <c r="AD22" s="239">
        <f t="shared" si="23"/>
        <v>22548</v>
      </c>
    </row>
    <row r="23" spans="1:30" s="10" customFormat="1" ht="14.15" customHeight="1">
      <c r="A23" s="912"/>
      <c r="B23" s="340">
        <v>17</v>
      </c>
      <c r="C23" s="340" t="s">
        <v>717</v>
      </c>
      <c r="D23" s="340">
        <v>0</v>
      </c>
      <c r="E23" s="340">
        <v>0</v>
      </c>
      <c r="F23" s="340">
        <v>3096</v>
      </c>
      <c r="G23" s="340">
        <v>0</v>
      </c>
      <c r="H23" s="340">
        <v>0</v>
      </c>
      <c r="I23" s="340">
        <v>0</v>
      </c>
      <c r="J23" s="340">
        <v>9</v>
      </c>
      <c r="K23" s="340">
        <v>1</v>
      </c>
      <c r="L23" s="340">
        <v>1520</v>
      </c>
      <c r="M23" s="340">
        <v>0</v>
      </c>
      <c r="N23" s="239">
        <v>0</v>
      </c>
      <c r="O23" s="239">
        <f t="shared" si="17"/>
        <v>4625</v>
      </c>
      <c r="P23" s="239">
        <v>1530</v>
      </c>
      <c r="Q23" s="244">
        <f t="shared" si="18"/>
        <v>33.9</v>
      </c>
      <c r="R23" s="239">
        <v>0</v>
      </c>
      <c r="S23" s="244">
        <f t="shared" si="19"/>
        <v>0</v>
      </c>
      <c r="T23" s="239">
        <v>2967</v>
      </c>
      <c r="U23" s="244">
        <f t="shared" si="20"/>
        <v>65.8</v>
      </c>
      <c r="V23" s="239">
        <v>11</v>
      </c>
      <c r="W23" s="244">
        <f t="shared" si="21"/>
        <v>0.2</v>
      </c>
      <c r="X23" s="239">
        <f t="shared" si="22"/>
        <v>4508</v>
      </c>
      <c r="Y23" s="239">
        <v>2967</v>
      </c>
      <c r="Z23" s="239">
        <v>7</v>
      </c>
      <c r="AA23" s="239">
        <v>6270</v>
      </c>
      <c r="AB23" s="239">
        <v>0</v>
      </c>
      <c r="AC23" s="239">
        <v>0</v>
      </c>
      <c r="AD23" s="239">
        <f t="shared" si="23"/>
        <v>6270</v>
      </c>
    </row>
    <row r="24" spans="1:30" s="10" customFormat="1" ht="14.15" customHeight="1">
      <c r="A24" s="912"/>
      <c r="B24" s="340">
        <v>58</v>
      </c>
      <c r="C24" s="340" t="s">
        <v>719</v>
      </c>
      <c r="D24" s="340">
        <v>0</v>
      </c>
      <c r="E24" s="340">
        <v>0</v>
      </c>
      <c r="F24" s="340">
        <v>1326</v>
      </c>
      <c r="G24" s="340">
        <v>0</v>
      </c>
      <c r="H24" s="340">
        <v>0</v>
      </c>
      <c r="I24" s="340">
        <v>0</v>
      </c>
      <c r="J24" s="340">
        <v>1424</v>
      </c>
      <c r="K24" s="340">
        <v>8</v>
      </c>
      <c r="L24" s="340">
        <v>2389</v>
      </c>
      <c r="M24" s="340">
        <v>0</v>
      </c>
      <c r="N24" s="239">
        <v>0</v>
      </c>
      <c r="O24" s="239">
        <f t="shared" si="17"/>
        <v>5139</v>
      </c>
      <c r="P24" s="239">
        <v>3814</v>
      </c>
      <c r="Q24" s="244">
        <f t="shared" si="18"/>
        <v>82.8</v>
      </c>
      <c r="R24" s="239">
        <v>0</v>
      </c>
      <c r="S24" s="244">
        <f t="shared" si="19"/>
        <v>0</v>
      </c>
      <c r="T24" s="239">
        <v>770</v>
      </c>
      <c r="U24" s="244">
        <f t="shared" si="20"/>
        <v>16.7</v>
      </c>
      <c r="V24" s="239">
        <v>20</v>
      </c>
      <c r="W24" s="244">
        <f t="shared" si="21"/>
        <v>0.4</v>
      </c>
      <c r="X24" s="239">
        <f t="shared" si="22"/>
        <v>4604</v>
      </c>
      <c r="Y24" s="239">
        <v>0</v>
      </c>
      <c r="Z24" s="239">
        <v>41</v>
      </c>
      <c r="AA24" s="239">
        <v>24109</v>
      </c>
      <c r="AB24" s="239">
        <v>0</v>
      </c>
      <c r="AC24" s="239">
        <v>0</v>
      </c>
      <c r="AD24" s="239">
        <f t="shared" si="23"/>
        <v>24109</v>
      </c>
    </row>
    <row r="25" spans="1:30" s="10" customFormat="1" ht="14.15" customHeight="1">
      <c r="A25" s="912"/>
      <c r="B25" s="340">
        <v>56</v>
      </c>
      <c r="C25" s="340" t="s">
        <v>720</v>
      </c>
      <c r="D25" s="340">
        <v>0</v>
      </c>
      <c r="E25" s="340">
        <v>0</v>
      </c>
      <c r="F25" s="340">
        <v>0</v>
      </c>
      <c r="G25" s="340">
        <v>0</v>
      </c>
      <c r="H25" s="340">
        <v>0</v>
      </c>
      <c r="I25" s="340">
        <v>0</v>
      </c>
      <c r="J25" s="340">
        <v>1013</v>
      </c>
      <c r="K25" s="340">
        <v>7</v>
      </c>
      <c r="L25" s="340">
        <v>0</v>
      </c>
      <c r="M25" s="340">
        <v>0</v>
      </c>
      <c r="N25" s="239">
        <v>0</v>
      </c>
      <c r="O25" s="239">
        <f t="shared" si="17"/>
        <v>1013</v>
      </c>
      <c r="P25" s="239">
        <v>1013</v>
      </c>
      <c r="Q25" s="244">
        <f t="shared" si="18"/>
        <v>100</v>
      </c>
      <c r="R25" s="239">
        <v>0</v>
      </c>
      <c r="S25" s="244">
        <f t="shared" si="19"/>
        <v>0</v>
      </c>
      <c r="T25" s="239">
        <v>0</v>
      </c>
      <c r="U25" s="244">
        <f t="shared" si="20"/>
        <v>0</v>
      </c>
      <c r="V25" s="239">
        <v>0</v>
      </c>
      <c r="W25" s="244">
        <f t="shared" si="21"/>
        <v>0</v>
      </c>
      <c r="X25" s="239">
        <f t="shared" si="22"/>
        <v>1013</v>
      </c>
      <c r="Y25" s="239">
        <v>0</v>
      </c>
      <c r="Z25" s="239">
        <v>8</v>
      </c>
      <c r="AA25" s="239">
        <v>4700</v>
      </c>
      <c r="AB25" s="239">
        <v>0</v>
      </c>
      <c r="AC25" s="239">
        <v>0</v>
      </c>
      <c r="AD25" s="239">
        <f t="shared" si="23"/>
        <v>4700</v>
      </c>
    </row>
    <row r="26" spans="1:30" s="10" customFormat="1" ht="14.15" customHeight="1">
      <c r="A26" s="912"/>
      <c r="B26" s="340">
        <v>71</v>
      </c>
      <c r="C26" s="340" t="s">
        <v>721</v>
      </c>
      <c r="D26" s="340">
        <v>0</v>
      </c>
      <c r="E26" s="340">
        <v>0</v>
      </c>
      <c r="F26" s="340">
        <v>0</v>
      </c>
      <c r="G26" s="340">
        <v>0</v>
      </c>
      <c r="H26" s="340">
        <v>0</v>
      </c>
      <c r="I26" s="340">
        <v>0</v>
      </c>
      <c r="J26" s="340">
        <v>1254</v>
      </c>
      <c r="K26" s="340">
        <v>3</v>
      </c>
      <c r="L26" s="340">
        <v>0</v>
      </c>
      <c r="M26" s="340">
        <v>0</v>
      </c>
      <c r="N26" s="239">
        <v>0</v>
      </c>
      <c r="O26" s="239">
        <f t="shared" si="17"/>
        <v>1254</v>
      </c>
      <c r="P26" s="239">
        <v>616</v>
      </c>
      <c r="Q26" s="244">
        <f t="shared" si="18"/>
        <v>100</v>
      </c>
      <c r="R26" s="239">
        <v>0</v>
      </c>
      <c r="S26" s="244">
        <f t="shared" si="19"/>
        <v>0</v>
      </c>
      <c r="T26" s="239">
        <v>0</v>
      </c>
      <c r="U26" s="244">
        <f t="shared" si="20"/>
        <v>0</v>
      </c>
      <c r="V26" s="239">
        <v>0</v>
      </c>
      <c r="W26" s="244">
        <f t="shared" si="21"/>
        <v>0</v>
      </c>
      <c r="X26" s="239">
        <f t="shared" si="22"/>
        <v>616</v>
      </c>
      <c r="Y26" s="239">
        <v>0</v>
      </c>
      <c r="Z26" s="239">
        <v>9</v>
      </c>
      <c r="AA26" s="239">
        <v>2866</v>
      </c>
      <c r="AB26" s="239">
        <v>0</v>
      </c>
      <c r="AC26" s="239">
        <v>0</v>
      </c>
      <c r="AD26" s="239">
        <f t="shared" si="23"/>
        <v>2866</v>
      </c>
    </row>
    <row r="27" spans="1:30" s="10" customFormat="1" ht="14.15" customHeight="1">
      <c r="A27" s="912"/>
      <c r="B27" s="340">
        <v>78</v>
      </c>
      <c r="C27" s="340" t="s">
        <v>722</v>
      </c>
      <c r="D27" s="340">
        <v>0</v>
      </c>
      <c r="E27" s="340">
        <v>0</v>
      </c>
      <c r="F27" s="340">
        <v>0</v>
      </c>
      <c r="G27" s="340">
        <v>0</v>
      </c>
      <c r="H27" s="340">
        <v>0</v>
      </c>
      <c r="I27" s="340">
        <v>0</v>
      </c>
      <c r="J27" s="340">
        <v>990</v>
      </c>
      <c r="K27" s="340">
        <v>12</v>
      </c>
      <c r="L27" s="340">
        <v>0</v>
      </c>
      <c r="M27" s="340">
        <v>0</v>
      </c>
      <c r="N27" s="239">
        <v>0</v>
      </c>
      <c r="O27" s="239">
        <f t="shared" si="17"/>
        <v>990</v>
      </c>
      <c r="P27" s="239">
        <v>990</v>
      </c>
      <c r="Q27" s="244">
        <f t="shared" si="18"/>
        <v>100</v>
      </c>
      <c r="R27" s="239">
        <v>0</v>
      </c>
      <c r="S27" s="244">
        <f t="shared" si="19"/>
        <v>0</v>
      </c>
      <c r="T27" s="239">
        <v>0</v>
      </c>
      <c r="U27" s="244">
        <f t="shared" si="20"/>
        <v>0</v>
      </c>
      <c r="V27" s="239">
        <v>0</v>
      </c>
      <c r="W27" s="244">
        <f t="shared" si="21"/>
        <v>0</v>
      </c>
      <c r="X27" s="239">
        <f t="shared" si="22"/>
        <v>990</v>
      </c>
      <c r="Y27" s="239">
        <v>0</v>
      </c>
      <c r="Z27" s="239">
        <v>17</v>
      </c>
      <c r="AA27" s="239">
        <v>2919</v>
      </c>
      <c r="AB27" s="239">
        <v>0</v>
      </c>
      <c r="AC27" s="239">
        <v>0</v>
      </c>
      <c r="AD27" s="239">
        <f t="shared" si="23"/>
        <v>2919</v>
      </c>
    </row>
    <row r="28" spans="1:30" s="10" customFormat="1" ht="14.15" customHeight="1">
      <c r="A28" s="912"/>
      <c r="B28" s="340">
        <v>79</v>
      </c>
      <c r="C28" s="340" t="s">
        <v>723</v>
      </c>
      <c r="D28" s="340">
        <v>0</v>
      </c>
      <c r="E28" s="340">
        <v>0</v>
      </c>
      <c r="F28" s="340">
        <v>0</v>
      </c>
      <c r="G28" s="340">
        <v>0</v>
      </c>
      <c r="H28" s="340">
        <v>0</v>
      </c>
      <c r="I28" s="340">
        <v>0</v>
      </c>
      <c r="J28" s="340">
        <v>275</v>
      </c>
      <c r="K28" s="340">
        <v>5</v>
      </c>
      <c r="L28" s="340">
        <v>0</v>
      </c>
      <c r="M28" s="340">
        <v>0</v>
      </c>
      <c r="N28" s="239">
        <v>0</v>
      </c>
      <c r="O28" s="239">
        <f t="shared" si="17"/>
        <v>275</v>
      </c>
      <c r="P28" s="239">
        <v>275</v>
      </c>
      <c r="Q28" s="244">
        <f t="shared" si="18"/>
        <v>100</v>
      </c>
      <c r="R28" s="239">
        <v>0</v>
      </c>
      <c r="S28" s="244">
        <f t="shared" si="19"/>
        <v>0</v>
      </c>
      <c r="T28" s="239">
        <v>0</v>
      </c>
      <c r="U28" s="244">
        <f t="shared" si="20"/>
        <v>0</v>
      </c>
      <c r="V28" s="239">
        <v>0</v>
      </c>
      <c r="W28" s="244">
        <f t="shared" si="21"/>
        <v>0</v>
      </c>
      <c r="X28" s="239">
        <f t="shared" si="22"/>
        <v>275</v>
      </c>
      <c r="Y28" s="239">
        <v>0</v>
      </c>
      <c r="Z28" s="281">
        <v>7</v>
      </c>
      <c r="AA28" s="239">
        <v>1190</v>
      </c>
      <c r="AB28" s="239">
        <v>0</v>
      </c>
      <c r="AC28" s="239">
        <v>0</v>
      </c>
      <c r="AD28" s="239">
        <f t="shared" si="23"/>
        <v>1190</v>
      </c>
    </row>
    <row r="29" spans="1:30" s="10" customFormat="1" ht="14.15" customHeight="1">
      <c r="A29" s="912"/>
      <c r="B29" s="340">
        <v>80</v>
      </c>
      <c r="C29" s="340" t="s">
        <v>724</v>
      </c>
      <c r="D29" s="340">
        <v>0</v>
      </c>
      <c r="E29" s="340">
        <v>0</v>
      </c>
      <c r="F29" s="340">
        <v>263</v>
      </c>
      <c r="G29" s="340">
        <v>0</v>
      </c>
      <c r="H29" s="340">
        <v>0</v>
      </c>
      <c r="I29" s="340">
        <v>0</v>
      </c>
      <c r="J29" s="340">
        <v>0</v>
      </c>
      <c r="K29" s="340">
        <v>0</v>
      </c>
      <c r="L29" s="340">
        <v>108</v>
      </c>
      <c r="M29" s="340">
        <v>0</v>
      </c>
      <c r="N29" s="239">
        <v>0</v>
      </c>
      <c r="O29" s="239">
        <f t="shared" si="17"/>
        <v>371</v>
      </c>
      <c r="P29" s="239">
        <v>108</v>
      </c>
      <c r="Q29" s="244">
        <f t="shared" si="18"/>
        <v>29.1</v>
      </c>
      <c r="R29" s="239">
        <v>263</v>
      </c>
      <c r="S29" s="244">
        <f t="shared" si="19"/>
        <v>70.900000000000006</v>
      </c>
      <c r="T29" s="239">
        <v>0</v>
      </c>
      <c r="U29" s="244">
        <f t="shared" si="20"/>
        <v>0</v>
      </c>
      <c r="V29" s="239">
        <v>0</v>
      </c>
      <c r="W29" s="244">
        <f t="shared" si="21"/>
        <v>0</v>
      </c>
      <c r="X29" s="239">
        <f t="shared" si="22"/>
        <v>371</v>
      </c>
      <c r="Y29" s="239">
        <v>0</v>
      </c>
      <c r="Z29" s="239">
        <v>7</v>
      </c>
      <c r="AA29" s="239">
        <v>2370</v>
      </c>
      <c r="AB29" s="239">
        <v>0</v>
      </c>
      <c r="AC29" s="239">
        <v>0</v>
      </c>
      <c r="AD29" s="239">
        <f t="shared" si="23"/>
        <v>2370</v>
      </c>
    </row>
    <row r="30" spans="1:30" s="10" customFormat="1" ht="14.15" customHeight="1" thickBot="1">
      <c r="A30" s="912"/>
      <c r="B30" s="342">
        <v>85</v>
      </c>
      <c r="C30" s="342" t="s">
        <v>725</v>
      </c>
      <c r="D30" s="342">
        <v>0</v>
      </c>
      <c r="E30" s="342">
        <v>0</v>
      </c>
      <c r="F30" s="342">
        <v>0</v>
      </c>
      <c r="G30" s="342">
        <v>0</v>
      </c>
      <c r="H30" s="342">
        <v>0</v>
      </c>
      <c r="I30" s="342">
        <v>0</v>
      </c>
      <c r="J30" s="342">
        <v>101</v>
      </c>
      <c r="K30" s="342">
        <v>3</v>
      </c>
      <c r="L30" s="342">
        <v>72</v>
      </c>
      <c r="M30" s="342">
        <v>0</v>
      </c>
      <c r="N30" s="247">
        <v>0</v>
      </c>
      <c r="O30" s="247">
        <f t="shared" si="17"/>
        <v>173</v>
      </c>
      <c r="P30" s="247">
        <v>173</v>
      </c>
      <c r="Q30" s="251">
        <f t="shared" si="18"/>
        <v>100</v>
      </c>
      <c r="R30" s="247">
        <v>0</v>
      </c>
      <c r="S30" s="251">
        <f t="shared" si="19"/>
        <v>0</v>
      </c>
      <c r="T30" s="247">
        <v>0</v>
      </c>
      <c r="U30" s="251">
        <f t="shared" si="20"/>
        <v>0</v>
      </c>
      <c r="V30" s="247">
        <v>0</v>
      </c>
      <c r="W30" s="251">
        <f t="shared" si="21"/>
        <v>0</v>
      </c>
      <c r="X30" s="239">
        <f t="shared" si="22"/>
        <v>173</v>
      </c>
      <c r="Y30" s="247">
        <v>0</v>
      </c>
      <c r="Z30" s="247">
        <v>12</v>
      </c>
      <c r="AA30" s="247">
        <v>2150</v>
      </c>
      <c r="AB30" s="247">
        <v>0</v>
      </c>
      <c r="AC30" s="247">
        <v>0</v>
      </c>
      <c r="AD30" s="247">
        <f t="shared" si="23"/>
        <v>2150</v>
      </c>
    </row>
    <row r="31" spans="1:30" s="343" customFormat="1" ht="14.15" customHeight="1" thickTop="1">
      <c r="A31" s="912"/>
      <c r="B31" s="252"/>
      <c r="C31" s="253" t="s">
        <v>34</v>
      </c>
      <c r="D31" s="259">
        <f t="shared" ref="D31:P31" si="24">+SUM(D20:D30)</f>
        <v>0</v>
      </c>
      <c r="E31" s="259">
        <f t="shared" si="24"/>
        <v>0</v>
      </c>
      <c r="F31" s="259">
        <f t="shared" si="24"/>
        <v>5824</v>
      </c>
      <c r="G31" s="259">
        <f t="shared" si="24"/>
        <v>0</v>
      </c>
      <c r="H31" s="259">
        <f t="shared" si="24"/>
        <v>0</v>
      </c>
      <c r="I31" s="259">
        <f t="shared" si="24"/>
        <v>0</v>
      </c>
      <c r="J31" s="259">
        <f t="shared" si="24"/>
        <v>21246</v>
      </c>
      <c r="K31" s="259">
        <f t="shared" si="24"/>
        <v>83</v>
      </c>
      <c r="L31" s="259">
        <f t="shared" si="24"/>
        <v>13141</v>
      </c>
      <c r="M31" s="259">
        <f t="shared" si="24"/>
        <v>0</v>
      </c>
      <c r="N31" s="259">
        <f t="shared" si="24"/>
        <v>0</v>
      </c>
      <c r="O31" s="259">
        <f t="shared" si="24"/>
        <v>40211</v>
      </c>
      <c r="P31" s="259">
        <f t="shared" si="24"/>
        <v>31631</v>
      </c>
      <c r="Q31" s="261">
        <f>+ROUND(P31/X31*100,1)</f>
        <v>86</v>
      </c>
      <c r="R31" s="259">
        <f>+SUM(R20:R30)</f>
        <v>263</v>
      </c>
      <c r="S31" s="261">
        <f>+ROUND(R31/X31*100,1)</f>
        <v>0.7</v>
      </c>
      <c r="T31" s="259">
        <f>+SUM(T20:T30)</f>
        <v>4876</v>
      </c>
      <c r="U31" s="261">
        <f>+ROUND(T31/X31*100,1)</f>
        <v>13.2</v>
      </c>
      <c r="V31" s="259">
        <f>+SUM(V20:V30)</f>
        <v>31</v>
      </c>
      <c r="W31" s="261">
        <f>+ROUND(V31/X31*100,1)</f>
        <v>0.1</v>
      </c>
      <c r="X31" s="259">
        <f t="shared" ref="X31:AD31" si="25">+SUM(X20:X30)</f>
        <v>36801</v>
      </c>
      <c r="Y31" s="259">
        <f t="shared" si="25"/>
        <v>10017</v>
      </c>
      <c r="Z31" s="259">
        <f t="shared" si="25"/>
        <v>203</v>
      </c>
      <c r="AA31" s="259">
        <f t="shared" si="25"/>
        <v>100321</v>
      </c>
      <c r="AB31" s="259">
        <f t="shared" si="25"/>
        <v>0</v>
      </c>
      <c r="AC31" s="259">
        <f t="shared" si="25"/>
        <v>0</v>
      </c>
      <c r="AD31" s="259">
        <f t="shared" si="25"/>
        <v>100321</v>
      </c>
    </row>
    <row r="32" spans="1:30" s="343" customFormat="1" ht="14.15" customHeight="1">
      <c r="A32" s="912"/>
      <c r="B32" s="263"/>
      <c r="C32" s="264"/>
      <c r="D32" s="270"/>
      <c r="E32" s="270"/>
      <c r="F32" s="270"/>
      <c r="G32" s="270"/>
      <c r="H32" s="270"/>
      <c r="I32" s="270"/>
      <c r="J32" s="270"/>
      <c r="K32" s="270"/>
      <c r="L32" s="270"/>
      <c r="M32" s="270"/>
      <c r="N32" s="270"/>
      <c r="O32" s="270"/>
      <c r="P32" s="270"/>
      <c r="Q32" s="272"/>
      <c r="R32" s="270"/>
      <c r="S32" s="272"/>
      <c r="T32" s="270"/>
      <c r="U32" s="272"/>
      <c r="V32" s="270"/>
      <c r="W32" s="272"/>
      <c r="X32" s="270"/>
      <c r="Y32" s="270"/>
      <c r="Z32" s="270"/>
      <c r="AA32" s="270"/>
      <c r="AB32" s="270"/>
      <c r="AC32" s="270"/>
      <c r="AD32" s="270"/>
    </row>
    <row r="33" spans="1:30" s="10" customFormat="1" ht="14.15" customHeight="1">
      <c r="A33" s="912" t="s">
        <v>512</v>
      </c>
      <c r="B33" s="339">
        <v>35</v>
      </c>
      <c r="C33" s="339" t="s">
        <v>726</v>
      </c>
      <c r="D33" s="339">
        <v>0</v>
      </c>
      <c r="E33" s="339">
        <v>0</v>
      </c>
      <c r="F33" s="339">
        <v>1128</v>
      </c>
      <c r="G33" s="339">
        <v>25</v>
      </c>
      <c r="H33" s="339">
        <v>0</v>
      </c>
      <c r="I33" s="339">
        <v>0</v>
      </c>
      <c r="J33" s="339">
        <v>531</v>
      </c>
      <c r="K33" s="339">
        <v>6</v>
      </c>
      <c r="L33" s="339">
        <v>777</v>
      </c>
      <c r="M33" s="339">
        <v>0</v>
      </c>
      <c r="N33" s="231">
        <v>6730</v>
      </c>
      <c r="O33" s="231">
        <f t="shared" ref="O33:O40" si="26">D33+E33+F33+G33+H33+J33+L33+M33+N33</f>
        <v>9191</v>
      </c>
      <c r="P33" s="231">
        <v>1512</v>
      </c>
      <c r="Q33" s="236">
        <f t="shared" ref="Q33:Q40" si="27">+ROUND(P33/X33*100,1)</f>
        <v>62.9</v>
      </c>
      <c r="R33" s="231">
        <v>568</v>
      </c>
      <c r="S33" s="236">
        <f t="shared" ref="S33:S40" si="28">+ROUND(R33/X33*100,1)</f>
        <v>23.6</v>
      </c>
      <c r="T33" s="231">
        <v>325</v>
      </c>
      <c r="U33" s="236">
        <f t="shared" ref="U33:U40" si="29">+ROUND(T33/X33*100,1)</f>
        <v>13.5</v>
      </c>
      <c r="V33" s="231">
        <v>0</v>
      </c>
      <c r="W33" s="236">
        <f t="shared" ref="W33:W40" si="30">+ROUND(V33/X33*100,1)</f>
        <v>0</v>
      </c>
      <c r="X33" s="306">
        <f t="shared" ref="X33:X40" si="31">P33+R33+T33+V33</f>
        <v>2405</v>
      </c>
      <c r="Y33" s="231">
        <v>0</v>
      </c>
      <c r="Z33" s="231">
        <v>90</v>
      </c>
      <c r="AA33" s="231">
        <v>27192</v>
      </c>
      <c r="AB33" s="231">
        <v>0</v>
      </c>
      <c r="AC33" s="231">
        <v>0</v>
      </c>
      <c r="AD33" s="231">
        <f t="shared" ref="AD33:AD40" si="32">AA33+AC33</f>
        <v>27192</v>
      </c>
    </row>
    <row r="34" spans="1:30" s="10" customFormat="1" ht="14.15" customHeight="1">
      <c r="A34" s="912"/>
      <c r="B34" s="340">
        <v>29</v>
      </c>
      <c r="C34" s="340" t="s">
        <v>727</v>
      </c>
      <c r="D34" s="340">
        <v>0</v>
      </c>
      <c r="E34" s="340">
        <v>0</v>
      </c>
      <c r="F34" s="340">
        <v>1946</v>
      </c>
      <c r="G34" s="340">
        <v>41</v>
      </c>
      <c r="H34" s="340">
        <v>0</v>
      </c>
      <c r="I34" s="340">
        <v>0</v>
      </c>
      <c r="J34" s="340">
        <v>0</v>
      </c>
      <c r="K34" s="340">
        <v>2</v>
      </c>
      <c r="L34" s="340">
        <v>0</v>
      </c>
      <c r="M34" s="340">
        <v>0</v>
      </c>
      <c r="N34" s="239">
        <v>2536</v>
      </c>
      <c r="O34" s="239">
        <f t="shared" si="26"/>
        <v>4523</v>
      </c>
      <c r="P34" s="239">
        <v>0</v>
      </c>
      <c r="Q34" s="244">
        <f t="shared" si="27"/>
        <v>0</v>
      </c>
      <c r="R34" s="239">
        <v>11</v>
      </c>
      <c r="S34" s="244">
        <f t="shared" si="28"/>
        <v>0.6</v>
      </c>
      <c r="T34" s="239">
        <v>0</v>
      </c>
      <c r="U34" s="244">
        <f t="shared" si="29"/>
        <v>0</v>
      </c>
      <c r="V34" s="239">
        <v>1881</v>
      </c>
      <c r="W34" s="244">
        <f t="shared" si="30"/>
        <v>99.4</v>
      </c>
      <c r="X34" s="239">
        <f t="shared" si="31"/>
        <v>1892</v>
      </c>
      <c r="Y34" s="239">
        <v>0</v>
      </c>
      <c r="Z34" s="239">
        <v>21</v>
      </c>
      <c r="AA34" s="239">
        <v>10507</v>
      </c>
      <c r="AB34" s="239">
        <v>0</v>
      </c>
      <c r="AC34" s="239">
        <v>0</v>
      </c>
      <c r="AD34" s="239">
        <f t="shared" si="32"/>
        <v>10507</v>
      </c>
    </row>
    <row r="35" spans="1:30" s="10" customFormat="1" ht="14.15" customHeight="1">
      <c r="A35" s="912"/>
      <c r="B35" s="340">
        <v>25</v>
      </c>
      <c r="C35" s="340" t="s">
        <v>728</v>
      </c>
      <c r="D35" s="340">
        <v>0</v>
      </c>
      <c r="E35" s="340">
        <v>0</v>
      </c>
      <c r="F35" s="340">
        <v>262</v>
      </c>
      <c r="G35" s="340">
        <v>781</v>
      </c>
      <c r="H35" s="340">
        <v>0</v>
      </c>
      <c r="I35" s="340">
        <v>0</v>
      </c>
      <c r="J35" s="340">
        <v>1259</v>
      </c>
      <c r="K35" s="340">
        <v>8</v>
      </c>
      <c r="L35" s="340">
        <v>0</v>
      </c>
      <c r="M35" s="340">
        <v>0</v>
      </c>
      <c r="N35" s="239">
        <v>86</v>
      </c>
      <c r="O35" s="239">
        <f t="shared" si="26"/>
        <v>2388</v>
      </c>
      <c r="P35" s="239">
        <v>1850</v>
      </c>
      <c r="Q35" s="244">
        <f t="shared" si="27"/>
        <v>84.8</v>
      </c>
      <c r="R35" s="239">
        <v>84</v>
      </c>
      <c r="S35" s="244">
        <f t="shared" si="28"/>
        <v>3.8</v>
      </c>
      <c r="T35" s="239">
        <v>178</v>
      </c>
      <c r="U35" s="244">
        <f t="shared" si="29"/>
        <v>8.1999999999999993</v>
      </c>
      <c r="V35" s="239">
        <v>70</v>
      </c>
      <c r="W35" s="244">
        <f t="shared" si="30"/>
        <v>3.2</v>
      </c>
      <c r="X35" s="239">
        <f t="shared" si="31"/>
        <v>2182</v>
      </c>
      <c r="Y35" s="239">
        <v>724</v>
      </c>
      <c r="Z35" s="239">
        <v>20</v>
      </c>
      <c r="AA35" s="239">
        <v>5440</v>
      </c>
      <c r="AB35" s="239">
        <v>0</v>
      </c>
      <c r="AC35" s="239">
        <v>0</v>
      </c>
      <c r="AD35" s="239">
        <f t="shared" si="32"/>
        <v>5440</v>
      </c>
    </row>
    <row r="36" spans="1:30" s="10" customFormat="1" ht="14.15" customHeight="1">
      <c r="A36" s="912"/>
      <c r="B36" s="340">
        <v>59</v>
      </c>
      <c r="C36" s="340" t="s">
        <v>730</v>
      </c>
      <c r="D36" s="340">
        <v>0</v>
      </c>
      <c r="E36" s="340">
        <v>0</v>
      </c>
      <c r="F36" s="340">
        <v>0</v>
      </c>
      <c r="G36" s="340">
        <v>0</v>
      </c>
      <c r="H36" s="340">
        <v>163</v>
      </c>
      <c r="I36" s="340">
        <v>1</v>
      </c>
      <c r="J36" s="340">
        <v>218</v>
      </c>
      <c r="K36" s="239">
        <v>3</v>
      </c>
      <c r="L36" s="340">
        <v>98</v>
      </c>
      <c r="M36" s="340">
        <v>0</v>
      </c>
      <c r="N36" s="239">
        <v>2363</v>
      </c>
      <c r="O36" s="239">
        <f t="shared" si="26"/>
        <v>2842</v>
      </c>
      <c r="P36" s="239">
        <v>381</v>
      </c>
      <c r="Q36" s="244">
        <f t="shared" si="27"/>
        <v>79.5</v>
      </c>
      <c r="R36" s="239">
        <v>0</v>
      </c>
      <c r="S36" s="244">
        <f t="shared" si="28"/>
        <v>0</v>
      </c>
      <c r="T36" s="239">
        <v>98</v>
      </c>
      <c r="U36" s="244">
        <f t="shared" si="29"/>
        <v>20.5</v>
      </c>
      <c r="V36" s="239">
        <v>0</v>
      </c>
      <c r="W36" s="244">
        <f t="shared" si="30"/>
        <v>0</v>
      </c>
      <c r="X36" s="239">
        <f t="shared" si="31"/>
        <v>479</v>
      </c>
      <c r="Y36" s="239">
        <v>0</v>
      </c>
      <c r="Z36" s="239">
        <v>11</v>
      </c>
      <c r="AA36" s="239">
        <v>7630</v>
      </c>
      <c r="AB36" s="239">
        <v>0</v>
      </c>
      <c r="AC36" s="239">
        <v>0</v>
      </c>
      <c r="AD36" s="239">
        <f t="shared" si="32"/>
        <v>7630</v>
      </c>
    </row>
    <row r="37" spans="1:30" s="10" customFormat="1" ht="14.15" customHeight="1">
      <c r="A37" s="912"/>
      <c r="B37" s="340">
        <v>66</v>
      </c>
      <c r="C37" s="340" t="s">
        <v>732</v>
      </c>
      <c r="D37" s="340">
        <v>0</v>
      </c>
      <c r="E37" s="340">
        <v>0</v>
      </c>
      <c r="F37" s="340">
        <v>1322</v>
      </c>
      <c r="G37" s="340">
        <v>0</v>
      </c>
      <c r="H37" s="340">
        <v>0</v>
      </c>
      <c r="I37" s="340">
        <v>0</v>
      </c>
      <c r="J37" s="340">
        <v>0</v>
      </c>
      <c r="K37" s="340">
        <v>0</v>
      </c>
      <c r="L37" s="340">
        <v>0</v>
      </c>
      <c r="M37" s="340">
        <v>0</v>
      </c>
      <c r="N37" s="239">
        <v>0</v>
      </c>
      <c r="O37" s="239">
        <f t="shared" si="26"/>
        <v>1322</v>
      </c>
      <c r="P37" s="239">
        <v>0</v>
      </c>
      <c r="Q37" s="244">
        <f t="shared" si="27"/>
        <v>0</v>
      </c>
      <c r="R37" s="239">
        <v>0</v>
      </c>
      <c r="S37" s="244">
        <f t="shared" si="28"/>
        <v>0</v>
      </c>
      <c r="T37" s="239">
        <v>1125</v>
      </c>
      <c r="U37" s="244">
        <f t="shared" si="29"/>
        <v>100</v>
      </c>
      <c r="V37" s="239">
        <v>0</v>
      </c>
      <c r="W37" s="244">
        <f t="shared" si="30"/>
        <v>0</v>
      </c>
      <c r="X37" s="239">
        <f t="shared" si="31"/>
        <v>1125</v>
      </c>
      <c r="Y37" s="239">
        <v>0</v>
      </c>
      <c r="Z37" s="239">
        <v>9</v>
      </c>
      <c r="AA37" s="239">
        <v>5465</v>
      </c>
      <c r="AB37" s="239">
        <v>0</v>
      </c>
      <c r="AC37" s="239">
        <v>0</v>
      </c>
      <c r="AD37" s="239">
        <f t="shared" si="32"/>
        <v>5465</v>
      </c>
    </row>
    <row r="38" spans="1:30" s="10" customFormat="1" ht="14.15" customHeight="1">
      <c r="A38" s="912"/>
      <c r="B38" s="340">
        <v>64</v>
      </c>
      <c r="C38" s="340" t="s">
        <v>734</v>
      </c>
      <c r="D38" s="340">
        <v>0</v>
      </c>
      <c r="E38" s="340">
        <v>0</v>
      </c>
      <c r="F38" s="340">
        <v>145</v>
      </c>
      <c r="G38" s="340">
        <v>0</v>
      </c>
      <c r="H38" s="340">
        <v>0</v>
      </c>
      <c r="I38" s="340">
        <v>0</v>
      </c>
      <c r="J38" s="340">
        <v>5</v>
      </c>
      <c r="K38" s="340">
        <v>1</v>
      </c>
      <c r="L38" s="340">
        <v>0</v>
      </c>
      <c r="M38" s="340">
        <v>0</v>
      </c>
      <c r="N38" s="239">
        <v>1598</v>
      </c>
      <c r="O38" s="239">
        <f t="shared" si="26"/>
        <v>1748</v>
      </c>
      <c r="P38" s="239">
        <v>5</v>
      </c>
      <c r="Q38" s="244">
        <f t="shared" si="27"/>
        <v>3.3</v>
      </c>
      <c r="R38" s="239">
        <v>0</v>
      </c>
      <c r="S38" s="244">
        <f t="shared" si="28"/>
        <v>0</v>
      </c>
      <c r="T38" s="239">
        <v>145</v>
      </c>
      <c r="U38" s="244">
        <f t="shared" si="29"/>
        <v>96.7</v>
      </c>
      <c r="V38" s="239">
        <v>0</v>
      </c>
      <c r="W38" s="244">
        <f t="shared" si="30"/>
        <v>0</v>
      </c>
      <c r="X38" s="239">
        <f t="shared" si="31"/>
        <v>150</v>
      </c>
      <c r="Y38" s="239">
        <v>0</v>
      </c>
      <c r="Z38" s="239">
        <v>4</v>
      </c>
      <c r="AA38" s="239">
        <v>4132</v>
      </c>
      <c r="AB38" s="239">
        <v>0</v>
      </c>
      <c r="AC38" s="239">
        <v>0</v>
      </c>
      <c r="AD38" s="239">
        <f t="shared" si="32"/>
        <v>4132</v>
      </c>
    </row>
    <row r="39" spans="1:30" s="10" customFormat="1" ht="14.15" customHeight="1">
      <c r="A39" s="912"/>
      <c r="B39" s="340">
        <v>88</v>
      </c>
      <c r="C39" s="340" t="s">
        <v>735</v>
      </c>
      <c r="D39" s="340">
        <v>0</v>
      </c>
      <c r="E39" s="340">
        <v>0</v>
      </c>
      <c r="F39" s="340">
        <v>243</v>
      </c>
      <c r="G39" s="340">
        <v>0</v>
      </c>
      <c r="H39" s="340">
        <v>0</v>
      </c>
      <c r="I39" s="340">
        <v>0</v>
      </c>
      <c r="J39" s="340">
        <v>345</v>
      </c>
      <c r="K39" s="340">
        <v>7</v>
      </c>
      <c r="L39" s="340">
        <v>0</v>
      </c>
      <c r="M39" s="340">
        <v>0</v>
      </c>
      <c r="N39" s="239">
        <v>0</v>
      </c>
      <c r="O39" s="239">
        <f t="shared" si="26"/>
        <v>588</v>
      </c>
      <c r="P39" s="239">
        <v>345</v>
      </c>
      <c r="Q39" s="244">
        <f t="shared" si="27"/>
        <v>58.7</v>
      </c>
      <c r="R39" s="239">
        <v>0</v>
      </c>
      <c r="S39" s="244">
        <f t="shared" si="28"/>
        <v>0</v>
      </c>
      <c r="T39" s="239">
        <v>243</v>
      </c>
      <c r="U39" s="244">
        <f t="shared" si="29"/>
        <v>41.3</v>
      </c>
      <c r="V39" s="239">
        <v>0</v>
      </c>
      <c r="W39" s="244">
        <f t="shared" si="30"/>
        <v>0</v>
      </c>
      <c r="X39" s="239">
        <f t="shared" si="31"/>
        <v>588</v>
      </c>
      <c r="Y39" s="239">
        <v>0</v>
      </c>
      <c r="Z39" s="239">
        <v>9</v>
      </c>
      <c r="AA39" s="239">
        <v>1833</v>
      </c>
      <c r="AB39" s="239">
        <v>0</v>
      </c>
      <c r="AC39" s="239">
        <v>0</v>
      </c>
      <c r="AD39" s="239">
        <f t="shared" si="32"/>
        <v>1833</v>
      </c>
    </row>
    <row r="40" spans="1:30" s="10" customFormat="1" ht="14.15" customHeight="1" thickBot="1">
      <c r="A40" s="912"/>
      <c r="B40" s="342">
        <v>52</v>
      </c>
      <c r="C40" s="342" t="s">
        <v>736</v>
      </c>
      <c r="D40" s="342">
        <v>0</v>
      </c>
      <c r="E40" s="342">
        <v>0</v>
      </c>
      <c r="F40" s="342">
        <v>234</v>
      </c>
      <c r="G40" s="342">
        <v>63</v>
      </c>
      <c r="H40" s="342">
        <v>227</v>
      </c>
      <c r="I40" s="342">
        <v>1</v>
      </c>
      <c r="J40" s="342">
        <v>143</v>
      </c>
      <c r="K40" s="342">
        <v>6</v>
      </c>
      <c r="L40" s="342">
        <v>0</v>
      </c>
      <c r="M40" s="342">
        <v>0</v>
      </c>
      <c r="N40" s="247">
        <v>477</v>
      </c>
      <c r="O40" s="247">
        <f t="shared" si="26"/>
        <v>1144</v>
      </c>
      <c r="P40" s="247">
        <v>433</v>
      </c>
      <c r="Q40" s="251">
        <f t="shared" si="27"/>
        <v>64.900000000000006</v>
      </c>
      <c r="R40" s="247">
        <v>0</v>
      </c>
      <c r="S40" s="251">
        <f t="shared" si="28"/>
        <v>0</v>
      </c>
      <c r="T40" s="247">
        <v>234</v>
      </c>
      <c r="U40" s="251">
        <f t="shared" si="29"/>
        <v>35.1</v>
      </c>
      <c r="V40" s="247">
        <v>0</v>
      </c>
      <c r="W40" s="251">
        <f t="shared" si="30"/>
        <v>0</v>
      </c>
      <c r="X40" s="247">
        <f t="shared" si="31"/>
        <v>667</v>
      </c>
      <c r="Y40" s="247">
        <v>0</v>
      </c>
      <c r="Z40" s="247">
        <v>2</v>
      </c>
      <c r="AA40" s="247">
        <v>3000</v>
      </c>
      <c r="AB40" s="247">
        <v>0</v>
      </c>
      <c r="AC40" s="247">
        <v>0</v>
      </c>
      <c r="AD40" s="247">
        <f t="shared" si="32"/>
        <v>3000</v>
      </c>
    </row>
    <row r="41" spans="1:30" s="343" customFormat="1" ht="14.15" customHeight="1" thickTop="1">
      <c r="A41" s="912"/>
      <c r="B41" s="252"/>
      <c r="C41" s="253" t="s">
        <v>34</v>
      </c>
      <c r="D41" s="259">
        <f t="shared" ref="D41:P41" si="33">+SUM(D33:D40)</f>
        <v>0</v>
      </c>
      <c r="E41" s="259">
        <f t="shared" si="33"/>
        <v>0</v>
      </c>
      <c r="F41" s="259">
        <f t="shared" si="33"/>
        <v>5280</v>
      </c>
      <c r="G41" s="259">
        <f t="shared" si="33"/>
        <v>910</v>
      </c>
      <c r="H41" s="259">
        <f t="shared" si="33"/>
        <v>390</v>
      </c>
      <c r="I41" s="259">
        <f t="shared" si="33"/>
        <v>2</v>
      </c>
      <c r="J41" s="259">
        <f t="shared" si="33"/>
        <v>2501</v>
      </c>
      <c r="K41" s="259">
        <f t="shared" si="33"/>
        <v>33</v>
      </c>
      <c r="L41" s="259">
        <f t="shared" si="33"/>
        <v>875</v>
      </c>
      <c r="M41" s="259">
        <f t="shared" si="33"/>
        <v>0</v>
      </c>
      <c r="N41" s="259">
        <f t="shared" si="33"/>
        <v>13790</v>
      </c>
      <c r="O41" s="259">
        <f t="shared" si="33"/>
        <v>23746</v>
      </c>
      <c r="P41" s="259">
        <f t="shared" si="33"/>
        <v>4526</v>
      </c>
      <c r="Q41" s="261">
        <f>+ROUND(P41/X41*100,1)</f>
        <v>47.7</v>
      </c>
      <c r="R41" s="259">
        <f>+SUM(R33:R40)</f>
        <v>663</v>
      </c>
      <c r="S41" s="261">
        <f>+ROUND(R41/X41*100,1)</f>
        <v>7</v>
      </c>
      <c r="T41" s="259">
        <f>+SUM(T33:T40)</f>
        <v>2348</v>
      </c>
      <c r="U41" s="261">
        <f>+ROUND(T41/X41*100,1)</f>
        <v>24.7</v>
      </c>
      <c r="V41" s="259">
        <f>+SUM(V33:V40)</f>
        <v>1951</v>
      </c>
      <c r="W41" s="261">
        <f>+ROUND(V41/X41*100,1)</f>
        <v>20.6</v>
      </c>
      <c r="X41" s="259">
        <f t="shared" ref="X41:AD41" si="34">+SUM(X33:X40)</f>
        <v>9488</v>
      </c>
      <c r="Y41" s="259">
        <f t="shared" si="34"/>
        <v>724</v>
      </c>
      <c r="Z41" s="259">
        <f t="shared" si="34"/>
        <v>166</v>
      </c>
      <c r="AA41" s="259">
        <f t="shared" si="34"/>
        <v>65199</v>
      </c>
      <c r="AB41" s="259">
        <v>0</v>
      </c>
      <c r="AC41" s="259">
        <v>0</v>
      </c>
      <c r="AD41" s="259">
        <f t="shared" si="34"/>
        <v>65199</v>
      </c>
    </row>
    <row r="42" spans="1:30" s="343" customFormat="1" ht="14.15" customHeight="1">
      <c r="A42" s="912"/>
      <c r="B42" s="263"/>
      <c r="C42" s="264"/>
      <c r="D42" s="270"/>
      <c r="E42" s="270"/>
      <c r="F42" s="270"/>
      <c r="G42" s="270"/>
      <c r="H42" s="270"/>
      <c r="I42" s="270"/>
      <c r="J42" s="270"/>
      <c r="K42" s="270"/>
      <c r="L42" s="270"/>
      <c r="M42" s="270"/>
      <c r="N42" s="270"/>
      <c r="O42" s="270"/>
      <c r="P42" s="270"/>
      <c r="Q42" s="272"/>
      <c r="R42" s="270"/>
      <c r="S42" s="272"/>
      <c r="T42" s="270"/>
      <c r="U42" s="272"/>
      <c r="V42" s="270"/>
      <c r="W42" s="272"/>
      <c r="X42" s="270"/>
      <c r="Y42" s="270"/>
      <c r="Z42" s="270"/>
      <c r="AA42" s="270"/>
      <c r="AB42" s="270">
        <v>0</v>
      </c>
      <c r="AC42" s="270">
        <v>0</v>
      </c>
      <c r="AD42" s="270"/>
    </row>
    <row r="43" spans="1:30" s="10" customFormat="1" ht="14.15" customHeight="1">
      <c r="A43" s="912" t="s">
        <v>800</v>
      </c>
      <c r="B43" s="339">
        <v>70</v>
      </c>
      <c r="C43" s="339" t="s">
        <v>738</v>
      </c>
      <c r="D43" s="339">
        <v>7010</v>
      </c>
      <c r="E43" s="339">
        <v>0</v>
      </c>
      <c r="F43" s="339">
        <v>5733</v>
      </c>
      <c r="G43" s="339">
        <v>0</v>
      </c>
      <c r="H43" s="339">
        <v>0</v>
      </c>
      <c r="I43" s="339">
        <v>0</v>
      </c>
      <c r="J43" s="339">
        <v>0</v>
      </c>
      <c r="K43" s="339">
        <v>0</v>
      </c>
      <c r="L43" s="339">
        <v>0</v>
      </c>
      <c r="M43" s="339">
        <v>0</v>
      </c>
      <c r="N43" s="231">
        <v>0</v>
      </c>
      <c r="O43" s="231">
        <f>D43+E43+F43+G43+H43+J43+L43+M43+N43</f>
        <v>12743</v>
      </c>
      <c r="P43" s="231">
        <v>0</v>
      </c>
      <c r="Q43" s="236">
        <f t="shared" ref="Q43:Q48" si="35">+ROUND(P43/X43*100,1)</f>
        <v>0</v>
      </c>
      <c r="R43" s="231">
        <v>3969</v>
      </c>
      <c r="S43" s="236">
        <f t="shared" ref="S43:S48" si="36">+ROUND(R43/X43*100,1)</f>
        <v>35.5</v>
      </c>
      <c r="T43" s="231">
        <v>7196</v>
      </c>
      <c r="U43" s="236">
        <f t="shared" ref="U43:U48" si="37">+ROUND(T43/X43*100,1)</f>
        <v>64.3</v>
      </c>
      <c r="V43" s="231">
        <v>18</v>
      </c>
      <c r="W43" s="236">
        <f t="shared" ref="W43:W48" si="38">+ROUND(V43/X43*100,1)</f>
        <v>0.2</v>
      </c>
      <c r="X43" s="231">
        <f t="shared" ref="X43:X48" si="39">P43+R43+T43+V43</f>
        <v>11183</v>
      </c>
      <c r="Y43" s="231">
        <v>18</v>
      </c>
      <c r="Z43" s="231">
        <v>168</v>
      </c>
      <c r="AA43" s="231">
        <v>37197</v>
      </c>
      <c r="AB43" s="231">
        <v>0</v>
      </c>
      <c r="AC43" s="231">
        <v>0</v>
      </c>
      <c r="AD43" s="231">
        <f t="shared" ref="AD43:AD48" si="40">AA43+AC43</f>
        <v>37197</v>
      </c>
    </row>
    <row r="44" spans="1:30" s="10" customFormat="1" ht="14.15" customHeight="1">
      <c r="A44" s="912"/>
      <c r="B44" s="340">
        <v>83</v>
      </c>
      <c r="C44" s="340" t="s">
        <v>739</v>
      </c>
      <c r="D44" s="340">
        <v>1401</v>
      </c>
      <c r="E44" s="340">
        <v>0</v>
      </c>
      <c r="F44" s="340">
        <v>49</v>
      </c>
      <c r="G44" s="340">
        <v>0</v>
      </c>
      <c r="H44" s="340">
        <v>0</v>
      </c>
      <c r="I44" s="340">
        <v>0</v>
      </c>
      <c r="J44" s="340">
        <v>421</v>
      </c>
      <c r="K44" s="340">
        <v>9</v>
      </c>
      <c r="L44" s="340">
        <v>0</v>
      </c>
      <c r="M44" s="340">
        <v>0</v>
      </c>
      <c r="N44" s="239">
        <v>0</v>
      </c>
      <c r="O44" s="239">
        <f>D44+E44+F44+G44+H44+J44+L44+M44+N44</f>
        <v>1871</v>
      </c>
      <c r="P44" s="239">
        <v>0</v>
      </c>
      <c r="Q44" s="244">
        <f t="shared" si="35"/>
        <v>0</v>
      </c>
      <c r="R44" s="239">
        <v>0</v>
      </c>
      <c r="S44" s="244">
        <f t="shared" si="36"/>
        <v>0</v>
      </c>
      <c r="T44" s="239">
        <v>1459</v>
      </c>
      <c r="U44" s="244">
        <f t="shared" si="37"/>
        <v>100</v>
      </c>
      <c r="V44" s="239">
        <v>0</v>
      </c>
      <c r="W44" s="244">
        <f t="shared" si="38"/>
        <v>0</v>
      </c>
      <c r="X44" s="239">
        <f t="shared" si="39"/>
        <v>1459</v>
      </c>
      <c r="Y44" s="239">
        <v>31</v>
      </c>
      <c r="Z44" s="239">
        <v>18</v>
      </c>
      <c r="AA44" s="239">
        <v>3544</v>
      </c>
      <c r="AB44" s="239">
        <v>0</v>
      </c>
      <c r="AC44" s="239">
        <v>0</v>
      </c>
      <c r="AD44" s="239">
        <f t="shared" si="40"/>
        <v>3544</v>
      </c>
    </row>
    <row r="45" spans="1:30" s="10" customFormat="1" ht="14.15" customHeight="1">
      <c r="A45" s="912"/>
      <c r="B45" s="346">
        <v>76</v>
      </c>
      <c r="C45" s="346" t="s">
        <v>740</v>
      </c>
      <c r="D45" s="346">
        <v>0</v>
      </c>
      <c r="E45" s="346">
        <v>0</v>
      </c>
      <c r="F45" s="346">
        <v>794</v>
      </c>
      <c r="G45" s="346">
        <v>0</v>
      </c>
      <c r="H45" s="346">
        <v>0</v>
      </c>
      <c r="I45" s="346">
        <v>0</v>
      </c>
      <c r="J45" s="346">
        <v>346</v>
      </c>
      <c r="K45" s="346">
        <v>3</v>
      </c>
      <c r="L45" s="346">
        <v>0</v>
      </c>
      <c r="M45" s="346">
        <v>0</v>
      </c>
      <c r="N45" s="281">
        <v>0</v>
      </c>
      <c r="O45" s="281">
        <f t="shared" ref="O45:O47" si="41">D45+E45+F45+G45+H45+J45+L45+M45+N45</f>
        <v>1140</v>
      </c>
      <c r="P45" s="281">
        <v>346</v>
      </c>
      <c r="Q45" s="285">
        <f t="shared" si="35"/>
        <v>30.4</v>
      </c>
      <c r="R45" s="281">
        <v>0</v>
      </c>
      <c r="S45" s="285">
        <f t="shared" si="36"/>
        <v>0</v>
      </c>
      <c r="T45" s="281">
        <v>794</v>
      </c>
      <c r="U45" s="285">
        <f t="shared" si="37"/>
        <v>69.599999999999994</v>
      </c>
      <c r="V45" s="281">
        <v>0</v>
      </c>
      <c r="W45" s="285">
        <f t="shared" si="38"/>
        <v>0</v>
      </c>
      <c r="X45" s="281">
        <f t="shared" si="39"/>
        <v>1140</v>
      </c>
      <c r="Y45" s="281">
        <v>0</v>
      </c>
      <c r="Z45" s="281">
        <v>11</v>
      </c>
      <c r="AA45" s="281">
        <v>1883</v>
      </c>
      <c r="AB45" s="281">
        <v>0</v>
      </c>
      <c r="AC45" s="281">
        <v>0</v>
      </c>
      <c r="AD45" s="281">
        <f t="shared" si="40"/>
        <v>1883</v>
      </c>
    </row>
    <row r="46" spans="1:30" s="10" customFormat="1" ht="14.15" customHeight="1">
      <c r="A46" s="912"/>
      <c r="B46" s="346">
        <v>93</v>
      </c>
      <c r="C46" s="346" t="s">
        <v>742</v>
      </c>
      <c r="D46" s="346">
        <v>0</v>
      </c>
      <c r="E46" s="346">
        <v>0</v>
      </c>
      <c r="F46" s="346">
        <v>1137</v>
      </c>
      <c r="G46" s="346">
        <v>63</v>
      </c>
      <c r="H46" s="346">
        <v>0</v>
      </c>
      <c r="I46" s="346">
        <v>0</v>
      </c>
      <c r="J46" s="346">
        <v>2</v>
      </c>
      <c r="K46" s="346">
        <v>2</v>
      </c>
      <c r="L46" s="346">
        <v>0</v>
      </c>
      <c r="M46" s="346">
        <v>0</v>
      </c>
      <c r="N46" s="281">
        <v>0</v>
      </c>
      <c r="O46" s="281">
        <f t="shared" si="41"/>
        <v>1202</v>
      </c>
      <c r="P46" s="281">
        <v>2</v>
      </c>
      <c r="Q46" s="285">
        <f t="shared" si="35"/>
        <v>0.2</v>
      </c>
      <c r="R46" s="281">
        <v>426</v>
      </c>
      <c r="S46" s="285">
        <f t="shared" si="36"/>
        <v>37.299999999999997</v>
      </c>
      <c r="T46" s="281">
        <v>646</v>
      </c>
      <c r="U46" s="285">
        <f t="shared" si="37"/>
        <v>56.6</v>
      </c>
      <c r="V46" s="281">
        <v>68</v>
      </c>
      <c r="W46" s="285">
        <f t="shared" si="38"/>
        <v>6</v>
      </c>
      <c r="X46" s="281">
        <f t="shared" si="39"/>
        <v>1142</v>
      </c>
      <c r="Y46" s="281">
        <v>0</v>
      </c>
      <c r="Z46" s="281">
        <v>39</v>
      </c>
      <c r="AA46" s="281">
        <v>4327</v>
      </c>
      <c r="AB46" s="281">
        <v>0</v>
      </c>
      <c r="AC46" s="281">
        <v>0</v>
      </c>
      <c r="AD46" s="281">
        <f t="shared" si="40"/>
        <v>4327</v>
      </c>
    </row>
    <row r="47" spans="1:30" s="10" customFormat="1" ht="14.15" customHeight="1">
      <c r="A47" s="912"/>
      <c r="B47" s="346">
        <v>94</v>
      </c>
      <c r="C47" s="346" t="s">
        <v>743</v>
      </c>
      <c r="D47" s="346">
        <v>0</v>
      </c>
      <c r="E47" s="346">
        <v>0</v>
      </c>
      <c r="F47" s="346">
        <v>195</v>
      </c>
      <c r="G47" s="346">
        <v>33</v>
      </c>
      <c r="H47" s="346">
        <v>0</v>
      </c>
      <c r="I47" s="346">
        <v>0</v>
      </c>
      <c r="J47" s="346">
        <v>376</v>
      </c>
      <c r="K47" s="346">
        <v>4</v>
      </c>
      <c r="L47" s="346">
        <v>0</v>
      </c>
      <c r="M47" s="346">
        <v>0</v>
      </c>
      <c r="N47" s="281">
        <v>0</v>
      </c>
      <c r="O47" s="281">
        <f t="shared" si="41"/>
        <v>604</v>
      </c>
      <c r="P47" s="281">
        <v>409</v>
      </c>
      <c r="Q47" s="285">
        <f t="shared" si="35"/>
        <v>67.7</v>
      </c>
      <c r="R47" s="281">
        <v>0</v>
      </c>
      <c r="S47" s="285">
        <f t="shared" si="36"/>
        <v>0</v>
      </c>
      <c r="T47" s="281">
        <v>195</v>
      </c>
      <c r="U47" s="285">
        <f t="shared" si="37"/>
        <v>32.299999999999997</v>
      </c>
      <c r="V47" s="281">
        <v>0</v>
      </c>
      <c r="W47" s="285">
        <f t="shared" si="38"/>
        <v>0</v>
      </c>
      <c r="X47" s="281">
        <f t="shared" si="39"/>
        <v>604</v>
      </c>
      <c r="Y47" s="281">
        <v>0</v>
      </c>
      <c r="Z47" s="281">
        <v>19</v>
      </c>
      <c r="AA47" s="281">
        <v>3445</v>
      </c>
      <c r="AB47" s="281">
        <v>0</v>
      </c>
      <c r="AC47" s="281">
        <v>0</v>
      </c>
      <c r="AD47" s="281">
        <f t="shared" si="40"/>
        <v>3445</v>
      </c>
    </row>
    <row r="48" spans="1:30" s="10" customFormat="1" ht="14.15" customHeight="1" thickBot="1">
      <c r="A48" s="912"/>
      <c r="B48" s="342">
        <v>91</v>
      </c>
      <c r="C48" s="342" t="s">
        <v>801</v>
      </c>
      <c r="D48" s="342">
        <v>0</v>
      </c>
      <c r="E48" s="342">
        <v>0</v>
      </c>
      <c r="F48" s="342">
        <v>4</v>
      </c>
      <c r="G48" s="342">
        <v>27</v>
      </c>
      <c r="H48" s="342">
        <v>0</v>
      </c>
      <c r="I48" s="342">
        <v>0</v>
      </c>
      <c r="J48" s="342">
        <v>783</v>
      </c>
      <c r="K48" s="342">
        <v>8</v>
      </c>
      <c r="L48" s="342">
        <v>0</v>
      </c>
      <c r="M48" s="342">
        <v>0</v>
      </c>
      <c r="N48" s="247">
        <v>0</v>
      </c>
      <c r="O48" s="247">
        <f>D48+E48+F48+G48+H48+J48+L48+M48+N48</f>
        <v>814</v>
      </c>
      <c r="P48" s="247">
        <v>810</v>
      </c>
      <c r="Q48" s="251">
        <f t="shared" si="35"/>
        <v>99.5</v>
      </c>
      <c r="R48" s="247">
        <v>0</v>
      </c>
      <c r="S48" s="251">
        <f t="shared" si="36"/>
        <v>0</v>
      </c>
      <c r="T48" s="247">
        <v>4</v>
      </c>
      <c r="U48" s="251">
        <f t="shared" si="37"/>
        <v>0.5</v>
      </c>
      <c r="V48" s="247">
        <v>0</v>
      </c>
      <c r="W48" s="251">
        <f t="shared" si="38"/>
        <v>0</v>
      </c>
      <c r="X48" s="247">
        <f t="shared" si="39"/>
        <v>814</v>
      </c>
      <c r="Y48" s="247">
        <v>0</v>
      </c>
      <c r="Z48" s="247">
        <v>56</v>
      </c>
      <c r="AA48" s="247">
        <v>2451</v>
      </c>
      <c r="AB48" s="247">
        <v>0</v>
      </c>
      <c r="AC48" s="247">
        <v>0</v>
      </c>
      <c r="AD48" s="247">
        <f t="shared" si="40"/>
        <v>2451</v>
      </c>
    </row>
    <row r="49" spans="1:30" s="343" customFormat="1" ht="14.15" customHeight="1" thickTop="1">
      <c r="A49" s="912"/>
      <c r="B49" s="252"/>
      <c r="C49" s="253" t="s">
        <v>34</v>
      </c>
      <c r="D49" s="259">
        <f t="shared" ref="D49:P49" si="42">+SUM(D43:D48)</f>
        <v>8411</v>
      </c>
      <c r="E49" s="259">
        <f t="shared" si="42"/>
        <v>0</v>
      </c>
      <c r="F49" s="259">
        <f t="shared" si="42"/>
        <v>7912</v>
      </c>
      <c r="G49" s="259">
        <f t="shared" si="42"/>
        <v>123</v>
      </c>
      <c r="H49" s="259">
        <f t="shared" si="42"/>
        <v>0</v>
      </c>
      <c r="I49" s="259">
        <f t="shared" si="42"/>
        <v>0</v>
      </c>
      <c r="J49" s="259">
        <f t="shared" si="42"/>
        <v>1928</v>
      </c>
      <c r="K49" s="259">
        <f t="shared" si="42"/>
        <v>26</v>
      </c>
      <c r="L49" s="259">
        <f t="shared" si="42"/>
        <v>0</v>
      </c>
      <c r="M49" s="259">
        <f t="shared" si="42"/>
        <v>0</v>
      </c>
      <c r="N49" s="259">
        <f t="shared" si="42"/>
        <v>0</v>
      </c>
      <c r="O49" s="259">
        <f t="shared" si="42"/>
        <v>18374</v>
      </c>
      <c r="P49" s="259">
        <f t="shared" si="42"/>
        <v>1567</v>
      </c>
      <c r="Q49" s="261">
        <f>+ROUND(P49/X49*100,1)</f>
        <v>9.6</v>
      </c>
      <c r="R49" s="259">
        <f>+SUM(R43:R48)</f>
        <v>4395</v>
      </c>
      <c r="S49" s="261">
        <f>+ROUND(R49/X49*100,1)</f>
        <v>26.9</v>
      </c>
      <c r="T49" s="259">
        <f>+SUM(T43:T48)</f>
        <v>10294</v>
      </c>
      <c r="U49" s="261">
        <f>+ROUND(T49/X49*100,1)</f>
        <v>63</v>
      </c>
      <c r="V49" s="259">
        <f>+SUM(V43:V48)</f>
        <v>86</v>
      </c>
      <c r="W49" s="261">
        <f>+ROUND(V49/X49*100,1)</f>
        <v>0.5</v>
      </c>
      <c r="X49" s="259">
        <f t="shared" ref="X49:AD49" si="43">+SUM(X43:X48)</f>
        <v>16342</v>
      </c>
      <c r="Y49" s="259">
        <f t="shared" si="43"/>
        <v>49</v>
      </c>
      <c r="Z49" s="259">
        <f t="shared" si="43"/>
        <v>311</v>
      </c>
      <c r="AA49" s="259">
        <f t="shared" si="43"/>
        <v>52847</v>
      </c>
      <c r="AB49" s="259">
        <f t="shared" si="43"/>
        <v>0</v>
      </c>
      <c r="AC49" s="259">
        <f t="shared" si="43"/>
        <v>0</v>
      </c>
      <c r="AD49" s="259">
        <f t="shared" si="43"/>
        <v>52847</v>
      </c>
    </row>
    <row r="50" spans="1:30" s="343" customFormat="1" ht="14.15" customHeight="1">
      <c r="A50" s="912"/>
      <c r="B50" s="263"/>
      <c r="C50" s="264"/>
      <c r="D50" s="270"/>
      <c r="E50" s="270"/>
      <c r="F50" s="270"/>
      <c r="G50" s="270"/>
      <c r="H50" s="270"/>
      <c r="I50" s="270"/>
      <c r="J50" s="270"/>
      <c r="K50" s="270"/>
      <c r="L50" s="270"/>
      <c r="M50" s="270"/>
      <c r="N50" s="270"/>
      <c r="O50" s="270"/>
      <c r="P50" s="270"/>
      <c r="Q50" s="272"/>
      <c r="R50" s="270"/>
      <c r="S50" s="272"/>
      <c r="T50" s="270"/>
      <c r="U50" s="272"/>
      <c r="V50" s="270"/>
      <c r="W50" s="272"/>
      <c r="X50" s="270"/>
      <c r="Y50" s="270"/>
      <c r="Z50" s="270"/>
      <c r="AA50" s="270"/>
      <c r="AB50" s="270"/>
      <c r="AC50" s="270"/>
      <c r="AD50" s="270"/>
    </row>
    <row r="51" spans="1:30" s="10" customFormat="1" ht="14.15" customHeight="1" thickBot="1">
      <c r="A51" s="912" t="s">
        <v>745</v>
      </c>
      <c r="B51" s="347">
        <v>20</v>
      </c>
      <c r="C51" s="347" t="s">
        <v>746</v>
      </c>
      <c r="D51" s="347">
        <v>0</v>
      </c>
      <c r="E51" s="347">
        <v>0</v>
      </c>
      <c r="F51" s="347">
        <v>1135</v>
      </c>
      <c r="G51" s="347">
        <v>0</v>
      </c>
      <c r="H51" s="347">
        <v>0</v>
      </c>
      <c r="I51" s="347">
        <v>0</v>
      </c>
      <c r="J51" s="347">
        <v>0</v>
      </c>
      <c r="K51" s="347">
        <v>1</v>
      </c>
      <c r="L51" s="347">
        <v>625</v>
      </c>
      <c r="M51" s="347">
        <v>0</v>
      </c>
      <c r="N51" s="287">
        <v>0</v>
      </c>
      <c r="O51" s="287">
        <f>D51+E51+F51+G51+H51+J51+L51+M51+N51</f>
        <v>1760</v>
      </c>
      <c r="P51" s="287">
        <v>625</v>
      </c>
      <c r="Q51" s="291">
        <f t="shared" ref="Q51" si="44">+ROUND(P51/X51*100,1)</f>
        <v>49.1</v>
      </c>
      <c r="R51" s="287">
        <v>0</v>
      </c>
      <c r="S51" s="291">
        <f t="shared" ref="S51" si="45">+ROUND(R51/X51*100,1)</f>
        <v>0</v>
      </c>
      <c r="T51" s="287">
        <v>647</v>
      </c>
      <c r="U51" s="291">
        <f t="shared" ref="U51" si="46">+ROUND(T51/X51*100,1)</f>
        <v>50.9</v>
      </c>
      <c r="V51" s="287">
        <v>0</v>
      </c>
      <c r="W51" s="291">
        <f t="shared" ref="W51" si="47">+ROUND(V51/X51*100,1)</f>
        <v>0</v>
      </c>
      <c r="X51" s="287">
        <f t="shared" ref="X51" si="48">P51+R51+T51+V51</f>
        <v>1272</v>
      </c>
      <c r="Y51" s="287">
        <v>0</v>
      </c>
      <c r="Z51" s="287">
        <v>16</v>
      </c>
      <c r="AA51" s="287">
        <v>2575</v>
      </c>
      <c r="AB51" s="287">
        <v>0</v>
      </c>
      <c r="AC51" s="287">
        <v>0</v>
      </c>
      <c r="AD51" s="287">
        <f t="shared" ref="AD51" si="49">AA51+AC51</f>
        <v>2575</v>
      </c>
    </row>
    <row r="52" spans="1:30" s="343" customFormat="1" ht="14.15" customHeight="1" thickTop="1">
      <c r="A52" s="912"/>
      <c r="B52" s="252"/>
      <c r="C52" s="253" t="s">
        <v>34</v>
      </c>
      <c r="D52" s="259">
        <f t="shared" ref="D52:O52" si="50">+D51</f>
        <v>0</v>
      </c>
      <c r="E52" s="259">
        <f t="shared" si="50"/>
        <v>0</v>
      </c>
      <c r="F52" s="259">
        <f t="shared" si="50"/>
        <v>1135</v>
      </c>
      <c r="G52" s="259">
        <f t="shared" si="50"/>
        <v>0</v>
      </c>
      <c r="H52" s="259">
        <f t="shared" si="50"/>
        <v>0</v>
      </c>
      <c r="I52" s="259">
        <f t="shared" si="50"/>
        <v>0</v>
      </c>
      <c r="J52" s="259">
        <f t="shared" si="50"/>
        <v>0</v>
      </c>
      <c r="K52" s="259">
        <f t="shared" si="50"/>
        <v>1</v>
      </c>
      <c r="L52" s="259">
        <f t="shared" si="50"/>
        <v>625</v>
      </c>
      <c r="M52" s="259">
        <f t="shared" si="50"/>
        <v>0</v>
      </c>
      <c r="N52" s="259">
        <f t="shared" si="50"/>
        <v>0</v>
      </c>
      <c r="O52" s="259">
        <f t="shared" si="50"/>
        <v>1760</v>
      </c>
      <c r="P52" s="259">
        <f>+SUM(P51)</f>
        <v>625</v>
      </c>
      <c r="Q52" s="261">
        <f>+ROUND(P52/X52*100,1)</f>
        <v>49.1</v>
      </c>
      <c r="R52" s="259">
        <f>+SUM(R51)</f>
        <v>0</v>
      </c>
      <c r="S52" s="261">
        <f>+ROUND(R52/X52*100,1)</f>
        <v>0</v>
      </c>
      <c r="T52" s="259">
        <f>+SUM(T51)</f>
        <v>647</v>
      </c>
      <c r="U52" s="261">
        <f>+ROUND(T52/X52*100,1)</f>
        <v>50.9</v>
      </c>
      <c r="V52" s="259">
        <f>+SUM(V51)</f>
        <v>0</v>
      </c>
      <c r="W52" s="261">
        <f>+ROUND(V52/X52*100,1)</f>
        <v>0</v>
      </c>
      <c r="X52" s="259">
        <f t="shared" ref="X52:AD52" si="51">+SUM(X51)</f>
        <v>1272</v>
      </c>
      <c r="Y52" s="259">
        <f t="shared" si="51"/>
        <v>0</v>
      </c>
      <c r="Z52" s="259">
        <f t="shared" si="51"/>
        <v>16</v>
      </c>
      <c r="AA52" s="259">
        <f t="shared" si="51"/>
        <v>2575</v>
      </c>
      <c r="AB52" s="259">
        <f t="shared" si="51"/>
        <v>0</v>
      </c>
      <c r="AC52" s="259">
        <f t="shared" si="51"/>
        <v>0</v>
      </c>
      <c r="AD52" s="259">
        <f t="shared" si="51"/>
        <v>2575</v>
      </c>
    </row>
    <row r="53" spans="1:30" s="343" customFormat="1" ht="14.15" customHeight="1">
      <c r="A53" s="912"/>
      <c r="B53" s="263"/>
      <c r="C53" s="264"/>
      <c r="D53" s="270"/>
      <c r="E53" s="270"/>
      <c r="F53" s="270"/>
      <c r="G53" s="270"/>
      <c r="H53" s="270"/>
      <c r="I53" s="270"/>
      <c r="J53" s="270"/>
      <c r="K53" s="270"/>
      <c r="L53" s="270"/>
      <c r="M53" s="270"/>
      <c r="N53" s="270"/>
      <c r="O53" s="270"/>
      <c r="P53" s="270"/>
      <c r="Q53" s="272"/>
      <c r="R53" s="270"/>
      <c r="S53" s="272"/>
      <c r="T53" s="270"/>
      <c r="U53" s="272"/>
      <c r="V53" s="270"/>
      <c r="W53" s="272"/>
      <c r="X53" s="270"/>
      <c r="Y53" s="270"/>
      <c r="Z53" s="270"/>
      <c r="AA53" s="270"/>
      <c r="AB53" s="270"/>
      <c r="AC53" s="270"/>
      <c r="AD53" s="270"/>
    </row>
    <row r="54" spans="1:30" s="10" customFormat="1" ht="14.15" customHeight="1">
      <c r="A54" s="912" t="s">
        <v>516</v>
      </c>
      <c r="B54" s="339">
        <v>4</v>
      </c>
      <c r="C54" s="339" t="s">
        <v>802</v>
      </c>
      <c r="D54" s="339">
        <v>0</v>
      </c>
      <c r="E54" s="339">
        <v>0</v>
      </c>
      <c r="F54" s="339">
        <v>20</v>
      </c>
      <c r="G54" s="339">
        <v>0</v>
      </c>
      <c r="H54" s="339">
        <v>1411</v>
      </c>
      <c r="I54" s="339">
        <v>2</v>
      </c>
      <c r="J54" s="339">
        <v>1673</v>
      </c>
      <c r="K54" s="339">
        <v>4</v>
      </c>
      <c r="L54" s="339">
        <v>0</v>
      </c>
      <c r="M54" s="339">
        <v>0</v>
      </c>
      <c r="N54" s="231">
        <v>22911</v>
      </c>
      <c r="O54" s="231">
        <f t="shared" ref="O54:O60" si="52">D54+E54+F54+G54+H54+J54+L54+M54+N54</f>
        <v>26015</v>
      </c>
      <c r="P54" s="231">
        <v>3084</v>
      </c>
      <c r="Q54" s="236">
        <f t="shared" ref="Q54:Q60" si="53">+ROUND(P54/X54*100,1)</f>
        <v>99.4</v>
      </c>
      <c r="R54" s="231">
        <v>0</v>
      </c>
      <c r="S54" s="236">
        <f t="shared" ref="S54:S60" si="54">+ROUND(R54/X54*100,1)</f>
        <v>0</v>
      </c>
      <c r="T54" s="231">
        <v>0</v>
      </c>
      <c r="U54" s="236">
        <f t="shared" ref="U54:U60" si="55">+ROUND(T54/X54*100,1)</f>
        <v>0</v>
      </c>
      <c r="V54" s="231">
        <v>20</v>
      </c>
      <c r="W54" s="236">
        <f t="shared" ref="W54:W60" si="56">+ROUND(V54/X54*100,1)</f>
        <v>0.6</v>
      </c>
      <c r="X54" s="231">
        <f t="shared" ref="X54:X60" si="57">P54+R54+T54+V54</f>
        <v>3104</v>
      </c>
      <c r="Y54" s="231">
        <v>0</v>
      </c>
      <c r="Z54" s="231">
        <v>81</v>
      </c>
      <c r="AA54" s="231">
        <v>65733</v>
      </c>
      <c r="AB54" s="231">
        <v>0</v>
      </c>
      <c r="AC54" s="231">
        <v>0</v>
      </c>
      <c r="AD54" s="231">
        <f t="shared" ref="AD54:AD60" si="58">AA54+AC54</f>
        <v>65733</v>
      </c>
    </row>
    <row r="55" spans="1:30" s="10" customFormat="1" ht="14.15" customHeight="1">
      <c r="A55" s="912"/>
      <c r="B55" s="340">
        <v>19</v>
      </c>
      <c r="C55" s="340" t="s">
        <v>803</v>
      </c>
      <c r="D55" s="340">
        <v>0</v>
      </c>
      <c r="E55" s="340">
        <v>0</v>
      </c>
      <c r="F55" s="340">
        <v>2055</v>
      </c>
      <c r="G55" s="340">
        <v>0</v>
      </c>
      <c r="H55" s="340">
        <v>0</v>
      </c>
      <c r="I55" s="340">
        <v>0</v>
      </c>
      <c r="J55" s="340">
        <v>0</v>
      </c>
      <c r="K55" s="340">
        <v>0</v>
      </c>
      <c r="L55" s="340">
        <v>0</v>
      </c>
      <c r="M55" s="340">
        <v>0</v>
      </c>
      <c r="N55" s="239">
        <v>0</v>
      </c>
      <c r="O55" s="239">
        <f t="shared" si="52"/>
        <v>2055</v>
      </c>
      <c r="P55" s="239">
        <v>0</v>
      </c>
      <c r="Q55" s="244">
        <f t="shared" si="53"/>
        <v>0</v>
      </c>
      <c r="R55" s="239">
        <v>7</v>
      </c>
      <c r="S55" s="244">
        <f t="shared" si="54"/>
        <v>0.3</v>
      </c>
      <c r="T55" s="239">
        <v>2038</v>
      </c>
      <c r="U55" s="244">
        <f t="shared" si="55"/>
        <v>99.4</v>
      </c>
      <c r="V55" s="239">
        <v>6</v>
      </c>
      <c r="W55" s="244">
        <f t="shared" si="56"/>
        <v>0.3</v>
      </c>
      <c r="X55" s="239">
        <f t="shared" si="57"/>
        <v>2051</v>
      </c>
      <c r="Y55" s="239">
        <v>0</v>
      </c>
      <c r="Z55" s="239">
        <v>9</v>
      </c>
      <c r="AA55" s="239">
        <v>6153</v>
      </c>
      <c r="AB55" s="239">
        <v>0</v>
      </c>
      <c r="AC55" s="239">
        <v>0</v>
      </c>
      <c r="AD55" s="239">
        <f t="shared" si="58"/>
        <v>6153</v>
      </c>
    </row>
    <row r="56" spans="1:30" s="10" customFormat="1" ht="14.15" customHeight="1">
      <c r="A56" s="912"/>
      <c r="B56" s="340">
        <v>41</v>
      </c>
      <c r="C56" s="340" t="s">
        <v>804</v>
      </c>
      <c r="D56" s="340">
        <v>0</v>
      </c>
      <c r="E56" s="340">
        <v>0</v>
      </c>
      <c r="F56" s="340">
        <v>933</v>
      </c>
      <c r="G56" s="340">
        <v>0</v>
      </c>
      <c r="H56" s="340">
        <v>0</v>
      </c>
      <c r="I56" s="340">
        <v>0</v>
      </c>
      <c r="J56" s="340">
        <v>1057</v>
      </c>
      <c r="K56" s="340">
        <v>8</v>
      </c>
      <c r="L56" s="340">
        <v>156</v>
      </c>
      <c r="M56" s="340">
        <v>0</v>
      </c>
      <c r="N56" s="239">
        <v>0</v>
      </c>
      <c r="O56" s="239">
        <f t="shared" si="52"/>
        <v>2146</v>
      </c>
      <c r="P56" s="239">
        <v>1103</v>
      </c>
      <c r="Q56" s="244">
        <f t="shared" si="53"/>
        <v>51.9</v>
      </c>
      <c r="R56" s="239">
        <v>0</v>
      </c>
      <c r="S56" s="244">
        <f t="shared" si="54"/>
        <v>0</v>
      </c>
      <c r="T56" s="239">
        <v>963</v>
      </c>
      <c r="U56" s="244">
        <f t="shared" si="55"/>
        <v>45.3</v>
      </c>
      <c r="V56" s="239">
        <v>59</v>
      </c>
      <c r="W56" s="244">
        <f t="shared" si="56"/>
        <v>2.8</v>
      </c>
      <c r="X56" s="239">
        <f t="shared" si="57"/>
        <v>2125</v>
      </c>
      <c r="Y56" s="239">
        <v>264</v>
      </c>
      <c r="Z56" s="239">
        <v>36</v>
      </c>
      <c r="AA56" s="239">
        <v>7969</v>
      </c>
      <c r="AB56" s="239">
        <v>0</v>
      </c>
      <c r="AC56" s="239">
        <v>0</v>
      </c>
      <c r="AD56" s="239">
        <f t="shared" si="58"/>
        <v>7969</v>
      </c>
    </row>
    <row r="57" spans="1:30" s="10" customFormat="1" ht="14.15" customHeight="1">
      <c r="A57" s="912"/>
      <c r="B57" s="340">
        <v>47</v>
      </c>
      <c r="C57" s="340" t="s">
        <v>805</v>
      </c>
      <c r="D57" s="340">
        <v>63</v>
      </c>
      <c r="E57" s="340">
        <v>0</v>
      </c>
      <c r="F57" s="340">
        <v>0</v>
      </c>
      <c r="G57" s="340">
        <v>216</v>
      </c>
      <c r="H57" s="340">
        <v>0</v>
      </c>
      <c r="I57" s="340">
        <v>0</v>
      </c>
      <c r="J57" s="340">
        <v>0</v>
      </c>
      <c r="K57" s="340">
        <v>0</v>
      </c>
      <c r="L57" s="340">
        <v>345</v>
      </c>
      <c r="M57" s="340">
        <v>0</v>
      </c>
      <c r="N57" s="239">
        <v>0</v>
      </c>
      <c r="O57" s="239">
        <f t="shared" si="52"/>
        <v>624</v>
      </c>
      <c r="P57" s="239">
        <v>0</v>
      </c>
      <c r="Q57" s="244">
        <f t="shared" si="53"/>
        <v>0</v>
      </c>
      <c r="R57" s="239">
        <v>0</v>
      </c>
      <c r="S57" s="244">
        <f t="shared" si="54"/>
        <v>0</v>
      </c>
      <c r="T57" s="239">
        <v>0</v>
      </c>
      <c r="U57" s="244">
        <f t="shared" si="55"/>
        <v>0</v>
      </c>
      <c r="V57" s="239">
        <v>538</v>
      </c>
      <c r="W57" s="244">
        <f t="shared" si="56"/>
        <v>100</v>
      </c>
      <c r="X57" s="239">
        <f t="shared" si="57"/>
        <v>538</v>
      </c>
      <c r="Y57" s="239">
        <v>403</v>
      </c>
      <c r="Z57" s="239">
        <v>40</v>
      </c>
      <c r="AA57" s="239">
        <v>3426</v>
      </c>
      <c r="AB57" s="239">
        <v>0</v>
      </c>
      <c r="AC57" s="239">
        <v>0</v>
      </c>
      <c r="AD57" s="239">
        <f t="shared" si="58"/>
        <v>3426</v>
      </c>
    </row>
    <row r="58" spans="1:30" s="10" customFormat="1" ht="14.15" customHeight="1">
      <c r="A58" s="912"/>
      <c r="B58" s="340">
        <v>46</v>
      </c>
      <c r="C58" s="340" t="s">
        <v>752</v>
      </c>
      <c r="D58" s="239">
        <v>0</v>
      </c>
      <c r="E58" s="239">
        <v>0</v>
      </c>
      <c r="F58" s="340">
        <v>2897</v>
      </c>
      <c r="G58" s="340">
        <v>296</v>
      </c>
      <c r="H58" s="340">
        <v>0</v>
      </c>
      <c r="I58" s="340">
        <v>0</v>
      </c>
      <c r="J58" s="340">
        <v>437</v>
      </c>
      <c r="K58" s="340">
        <v>3</v>
      </c>
      <c r="L58" s="340">
        <v>1507</v>
      </c>
      <c r="M58" s="340">
        <v>0</v>
      </c>
      <c r="N58" s="239">
        <v>6009</v>
      </c>
      <c r="O58" s="239">
        <f t="shared" si="52"/>
        <v>11146</v>
      </c>
      <c r="P58" s="239">
        <v>475</v>
      </c>
      <c r="Q58" s="244">
        <f t="shared" si="53"/>
        <v>10.199999999999999</v>
      </c>
      <c r="R58" s="239">
        <v>162</v>
      </c>
      <c r="S58" s="244">
        <f t="shared" si="54"/>
        <v>3.5</v>
      </c>
      <c r="T58" s="239">
        <v>3706</v>
      </c>
      <c r="U58" s="244">
        <f t="shared" si="55"/>
        <v>79.400000000000006</v>
      </c>
      <c r="V58" s="239">
        <v>322</v>
      </c>
      <c r="W58" s="244">
        <f t="shared" si="56"/>
        <v>6.9</v>
      </c>
      <c r="X58" s="239">
        <f t="shared" si="57"/>
        <v>4665</v>
      </c>
      <c r="Y58" s="239">
        <v>0</v>
      </c>
      <c r="Z58" s="239">
        <v>32</v>
      </c>
      <c r="AA58" s="239">
        <v>30844</v>
      </c>
      <c r="AB58" s="239">
        <v>0</v>
      </c>
      <c r="AC58" s="239">
        <v>0</v>
      </c>
      <c r="AD58" s="239">
        <f t="shared" si="58"/>
        <v>30844</v>
      </c>
    </row>
    <row r="59" spans="1:30" s="10" customFormat="1" ht="14.15" customHeight="1">
      <c r="A59" s="912"/>
      <c r="B59" s="340">
        <v>89</v>
      </c>
      <c r="C59" s="340" t="s">
        <v>806</v>
      </c>
      <c r="D59" s="340">
        <v>0</v>
      </c>
      <c r="E59" s="340">
        <v>0</v>
      </c>
      <c r="F59" s="340">
        <v>0</v>
      </c>
      <c r="G59" s="348">
        <v>0</v>
      </c>
      <c r="H59" s="340">
        <v>0</v>
      </c>
      <c r="I59" s="340">
        <v>0</v>
      </c>
      <c r="J59" s="340">
        <v>12403</v>
      </c>
      <c r="K59" s="340">
        <v>31</v>
      </c>
      <c r="L59" s="340">
        <v>0</v>
      </c>
      <c r="M59" s="340">
        <v>0</v>
      </c>
      <c r="N59" s="239">
        <v>0</v>
      </c>
      <c r="O59" s="239">
        <f t="shared" si="52"/>
        <v>12403</v>
      </c>
      <c r="P59" s="281">
        <v>12403</v>
      </c>
      <c r="Q59" s="285">
        <f t="shared" si="53"/>
        <v>100</v>
      </c>
      <c r="R59" s="281">
        <v>0</v>
      </c>
      <c r="S59" s="285">
        <f t="shared" si="54"/>
        <v>0</v>
      </c>
      <c r="T59" s="281">
        <v>0</v>
      </c>
      <c r="U59" s="285">
        <f t="shared" si="55"/>
        <v>0</v>
      </c>
      <c r="V59" s="281">
        <v>0</v>
      </c>
      <c r="W59" s="285">
        <f t="shared" si="56"/>
        <v>0</v>
      </c>
      <c r="X59" s="281">
        <f t="shared" si="57"/>
        <v>12403</v>
      </c>
      <c r="Y59" s="281">
        <v>0</v>
      </c>
      <c r="Z59" s="281">
        <v>56</v>
      </c>
      <c r="AA59" s="281">
        <v>42852</v>
      </c>
      <c r="AB59" s="281">
        <v>0</v>
      </c>
      <c r="AC59" s="281">
        <v>0</v>
      </c>
      <c r="AD59" s="281">
        <f t="shared" si="58"/>
        <v>42852</v>
      </c>
    </row>
    <row r="60" spans="1:30" s="10" customFormat="1" ht="14.15" customHeight="1" thickBot="1">
      <c r="A60" s="912"/>
      <c r="B60" s="341">
        <v>32</v>
      </c>
      <c r="C60" s="349" t="s">
        <v>519</v>
      </c>
      <c r="D60" s="341">
        <v>0</v>
      </c>
      <c r="E60" s="341">
        <v>0</v>
      </c>
      <c r="F60" s="341">
        <v>414</v>
      </c>
      <c r="G60" s="341">
        <v>0</v>
      </c>
      <c r="H60" s="350">
        <v>0</v>
      </c>
      <c r="I60" s="341">
        <v>0</v>
      </c>
      <c r="J60" s="341">
        <v>0</v>
      </c>
      <c r="K60" s="341">
        <v>0</v>
      </c>
      <c r="L60" s="341">
        <v>0</v>
      </c>
      <c r="M60" s="341">
        <v>0</v>
      </c>
      <c r="N60" s="293">
        <v>546</v>
      </c>
      <c r="O60" s="293">
        <f t="shared" si="52"/>
        <v>960</v>
      </c>
      <c r="P60" s="247">
        <v>0</v>
      </c>
      <c r="Q60" s="251">
        <f t="shared" si="53"/>
        <v>0</v>
      </c>
      <c r="R60" s="247">
        <v>414</v>
      </c>
      <c r="S60" s="251">
        <f t="shared" si="54"/>
        <v>100</v>
      </c>
      <c r="T60" s="247">
        <v>0</v>
      </c>
      <c r="U60" s="251">
        <f t="shared" si="55"/>
        <v>0</v>
      </c>
      <c r="V60" s="247">
        <v>0</v>
      </c>
      <c r="W60" s="251">
        <f t="shared" si="56"/>
        <v>0</v>
      </c>
      <c r="X60" s="247">
        <f t="shared" si="57"/>
        <v>414</v>
      </c>
      <c r="Y60" s="247">
        <v>0</v>
      </c>
      <c r="Z60" s="247">
        <v>5</v>
      </c>
      <c r="AA60" s="247">
        <v>2241</v>
      </c>
      <c r="AB60" s="247">
        <v>0</v>
      </c>
      <c r="AC60" s="247">
        <v>0</v>
      </c>
      <c r="AD60" s="247">
        <f t="shared" si="58"/>
        <v>2241</v>
      </c>
    </row>
    <row r="61" spans="1:30" s="343" customFormat="1" ht="14.15" customHeight="1" thickTop="1">
      <c r="A61" s="912"/>
      <c r="B61" s="252"/>
      <c r="C61" s="253" t="s">
        <v>34</v>
      </c>
      <c r="D61" s="259">
        <f t="shared" ref="D61:P61" si="59">+SUM(D54:D60)</f>
        <v>63</v>
      </c>
      <c r="E61" s="259">
        <f t="shared" si="59"/>
        <v>0</v>
      </c>
      <c r="F61" s="259">
        <f t="shared" si="59"/>
        <v>6319</v>
      </c>
      <c r="G61" s="259">
        <f t="shared" si="59"/>
        <v>512</v>
      </c>
      <c r="H61" s="259">
        <f t="shared" si="59"/>
        <v>1411</v>
      </c>
      <c r="I61" s="259">
        <f t="shared" si="59"/>
        <v>2</v>
      </c>
      <c r="J61" s="259">
        <f t="shared" si="59"/>
        <v>15570</v>
      </c>
      <c r="K61" s="259">
        <f t="shared" si="59"/>
        <v>46</v>
      </c>
      <c r="L61" s="259">
        <f t="shared" si="59"/>
        <v>2008</v>
      </c>
      <c r="M61" s="259">
        <f t="shared" si="59"/>
        <v>0</v>
      </c>
      <c r="N61" s="259">
        <f t="shared" si="59"/>
        <v>29466</v>
      </c>
      <c r="O61" s="259">
        <f t="shared" si="59"/>
        <v>55349</v>
      </c>
      <c r="P61" s="259">
        <f t="shared" si="59"/>
        <v>17065</v>
      </c>
      <c r="Q61" s="261">
        <f>+ROUND(P61/X61*100,1)</f>
        <v>67.5</v>
      </c>
      <c r="R61" s="259">
        <f>+SUM(R54:R60)</f>
        <v>583</v>
      </c>
      <c r="S61" s="261">
        <f>+ROUND(R61/X61*100,1)</f>
        <v>2.2999999999999998</v>
      </c>
      <c r="T61" s="259">
        <f>+SUM(T54:T60)</f>
        <v>6707</v>
      </c>
      <c r="U61" s="261">
        <f>+ROUND(T61/X61*100,1)</f>
        <v>26.5</v>
      </c>
      <c r="V61" s="259">
        <f>+SUM(V54:V60)</f>
        <v>945</v>
      </c>
      <c r="W61" s="261">
        <f>+ROUND(V61/X61*100,1)</f>
        <v>3.7</v>
      </c>
      <c r="X61" s="259">
        <f t="shared" ref="X61:AD61" si="60">+SUM(X54:X60)</f>
        <v>25300</v>
      </c>
      <c r="Y61" s="259">
        <f t="shared" si="60"/>
        <v>667</v>
      </c>
      <c r="Z61" s="259">
        <f t="shared" si="60"/>
        <v>259</v>
      </c>
      <c r="AA61" s="259">
        <f t="shared" si="60"/>
        <v>159218</v>
      </c>
      <c r="AB61" s="259">
        <f t="shared" si="60"/>
        <v>0</v>
      </c>
      <c r="AC61" s="259">
        <f t="shared" si="60"/>
        <v>0</v>
      </c>
      <c r="AD61" s="259">
        <f t="shared" si="60"/>
        <v>159218</v>
      </c>
    </row>
    <row r="62" spans="1:30" s="343" customFormat="1" ht="14.15" customHeight="1">
      <c r="A62" s="912"/>
      <c r="B62" s="263"/>
      <c r="C62" s="264"/>
      <c r="D62" s="270"/>
      <c r="E62" s="270"/>
      <c r="F62" s="270"/>
      <c r="G62" s="270"/>
      <c r="H62" s="270"/>
      <c r="I62" s="270"/>
      <c r="J62" s="270"/>
      <c r="K62" s="270"/>
      <c r="L62" s="270"/>
      <c r="M62" s="270"/>
      <c r="N62" s="270"/>
      <c r="O62" s="270"/>
      <c r="P62" s="270"/>
      <c r="Q62" s="272"/>
      <c r="R62" s="270"/>
      <c r="S62" s="272"/>
      <c r="T62" s="270"/>
      <c r="U62" s="272"/>
      <c r="V62" s="270"/>
      <c r="W62" s="272"/>
      <c r="X62" s="270"/>
      <c r="Y62" s="270"/>
      <c r="Z62" s="270"/>
      <c r="AA62" s="270"/>
      <c r="AB62" s="270"/>
      <c r="AC62" s="270"/>
      <c r="AD62" s="270"/>
    </row>
    <row r="63" spans="1:30" s="10" customFormat="1" ht="14.15" customHeight="1">
      <c r="A63" s="913" t="s">
        <v>520</v>
      </c>
      <c r="B63" s="339">
        <v>9</v>
      </c>
      <c r="C63" s="339" t="s">
        <v>755</v>
      </c>
      <c r="D63" s="339">
        <v>0</v>
      </c>
      <c r="E63" s="339">
        <v>0</v>
      </c>
      <c r="F63" s="339">
        <v>0</v>
      </c>
      <c r="G63" s="339">
        <v>0</v>
      </c>
      <c r="H63" s="339">
        <v>0</v>
      </c>
      <c r="I63" s="339">
        <v>0</v>
      </c>
      <c r="J63" s="339">
        <v>16</v>
      </c>
      <c r="K63" s="339">
        <v>6</v>
      </c>
      <c r="L63" s="339">
        <v>7761</v>
      </c>
      <c r="M63" s="339">
        <v>0</v>
      </c>
      <c r="N63" s="231">
        <v>0</v>
      </c>
      <c r="O63" s="231">
        <f>D63+E63+F63+G63+H63+J63+L63+M63+N63</f>
        <v>7777</v>
      </c>
      <c r="P63" s="231">
        <v>7777</v>
      </c>
      <c r="Q63" s="236">
        <f t="shared" ref="Q63:Q66" si="61">+ROUND(P63/X63*100,1)</f>
        <v>100</v>
      </c>
      <c r="R63" s="231">
        <v>0</v>
      </c>
      <c r="S63" s="236">
        <f t="shared" ref="S63:S66" si="62">+ROUND(R63/X63*100,1)</f>
        <v>0</v>
      </c>
      <c r="T63" s="231">
        <v>0</v>
      </c>
      <c r="U63" s="236">
        <f t="shared" ref="U63:U66" si="63">+ROUND(T63/X63*100,1)</f>
        <v>0</v>
      </c>
      <c r="V63" s="231">
        <v>0</v>
      </c>
      <c r="W63" s="236">
        <f t="shared" ref="W63:W66" si="64">+ROUND(V63/X63*100,1)</f>
        <v>0</v>
      </c>
      <c r="X63" s="231">
        <f t="shared" ref="X63:X66" si="65">P63+R63+T63+V63</f>
        <v>7777</v>
      </c>
      <c r="Y63" s="231">
        <v>0</v>
      </c>
      <c r="Z63" s="231">
        <v>30</v>
      </c>
      <c r="AA63" s="231">
        <v>10888</v>
      </c>
      <c r="AB63" s="231">
        <v>0</v>
      </c>
      <c r="AC63" s="231">
        <v>0</v>
      </c>
      <c r="AD63" s="231">
        <f t="shared" ref="AD63:AD66" si="66">AA63+AC63</f>
        <v>10888</v>
      </c>
    </row>
    <row r="64" spans="1:30" s="10" customFormat="1" ht="14.15" customHeight="1">
      <c r="A64" s="913"/>
      <c r="B64" s="340">
        <v>22</v>
      </c>
      <c r="C64" s="340" t="s">
        <v>757</v>
      </c>
      <c r="D64" s="340">
        <v>0</v>
      </c>
      <c r="E64" s="340">
        <v>0</v>
      </c>
      <c r="F64" s="340">
        <v>0</v>
      </c>
      <c r="G64" s="340">
        <v>122</v>
      </c>
      <c r="H64" s="340">
        <v>0</v>
      </c>
      <c r="I64" s="340">
        <v>0</v>
      </c>
      <c r="J64" s="340">
        <v>932</v>
      </c>
      <c r="K64" s="340">
        <v>4</v>
      </c>
      <c r="L64" s="340">
        <v>0</v>
      </c>
      <c r="M64" s="340">
        <v>0</v>
      </c>
      <c r="N64" s="239">
        <v>0</v>
      </c>
      <c r="O64" s="239">
        <f>D64+E64+F64+G64+H64+J64+L64+M64+N64</f>
        <v>1054</v>
      </c>
      <c r="P64" s="239">
        <v>1054</v>
      </c>
      <c r="Q64" s="244">
        <f t="shared" si="61"/>
        <v>100</v>
      </c>
      <c r="R64" s="239">
        <v>0</v>
      </c>
      <c r="S64" s="244">
        <f t="shared" si="62"/>
        <v>0</v>
      </c>
      <c r="T64" s="239">
        <v>0</v>
      </c>
      <c r="U64" s="244">
        <f t="shared" si="63"/>
        <v>0</v>
      </c>
      <c r="V64" s="239">
        <v>0</v>
      </c>
      <c r="W64" s="244">
        <f t="shared" si="64"/>
        <v>0</v>
      </c>
      <c r="X64" s="239">
        <f t="shared" si="65"/>
        <v>1054</v>
      </c>
      <c r="Y64" s="239">
        <v>0</v>
      </c>
      <c r="Z64" s="239">
        <v>6</v>
      </c>
      <c r="AA64" s="239">
        <v>4128</v>
      </c>
      <c r="AB64" s="239">
        <v>0</v>
      </c>
      <c r="AC64" s="239">
        <v>0</v>
      </c>
      <c r="AD64" s="239">
        <f t="shared" si="66"/>
        <v>4128</v>
      </c>
    </row>
    <row r="65" spans="1:30" s="10" customFormat="1" ht="14.15" customHeight="1">
      <c r="A65" s="913"/>
      <c r="B65" s="340">
        <v>74</v>
      </c>
      <c r="C65" s="340" t="s">
        <v>758</v>
      </c>
      <c r="D65" s="340">
        <v>0</v>
      </c>
      <c r="E65" s="340">
        <v>0</v>
      </c>
      <c r="F65" s="340">
        <v>0</v>
      </c>
      <c r="G65" s="340">
        <v>0</v>
      </c>
      <c r="H65" s="340">
        <v>0</v>
      </c>
      <c r="I65" s="340">
        <v>0</v>
      </c>
      <c r="J65" s="340">
        <v>980</v>
      </c>
      <c r="K65" s="340">
        <v>5</v>
      </c>
      <c r="L65" s="340">
        <v>0</v>
      </c>
      <c r="M65" s="340">
        <v>0</v>
      </c>
      <c r="N65" s="239">
        <v>0</v>
      </c>
      <c r="O65" s="239">
        <f>D65+E65+F65+G65+H65+J65+L65+M65+N65</f>
        <v>980</v>
      </c>
      <c r="P65" s="239">
        <v>980</v>
      </c>
      <c r="Q65" s="244">
        <f t="shared" si="61"/>
        <v>100</v>
      </c>
      <c r="R65" s="239">
        <v>0</v>
      </c>
      <c r="S65" s="244">
        <f t="shared" si="62"/>
        <v>0</v>
      </c>
      <c r="T65" s="239">
        <v>0</v>
      </c>
      <c r="U65" s="244">
        <f t="shared" si="63"/>
        <v>0</v>
      </c>
      <c r="V65" s="239">
        <v>0</v>
      </c>
      <c r="W65" s="244">
        <f t="shared" si="64"/>
        <v>0</v>
      </c>
      <c r="X65" s="239">
        <f t="shared" si="65"/>
        <v>980</v>
      </c>
      <c r="Y65" s="239">
        <v>0</v>
      </c>
      <c r="Z65" s="239">
        <v>3</v>
      </c>
      <c r="AA65" s="239">
        <v>3050</v>
      </c>
      <c r="AB65" s="239">
        <v>0</v>
      </c>
      <c r="AC65" s="239">
        <v>0</v>
      </c>
      <c r="AD65" s="239">
        <f t="shared" si="66"/>
        <v>3050</v>
      </c>
    </row>
    <row r="66" spans="1:30" s="10" customFormat="1" ht="14.15" customHeight="1" thickBot="1">
      <c r="A66" s="913"/>
      <c r="B66" s="342">
        <v>63</v>
      </c>
      <c r="C66" s="342" t="s">
        <v>759</v>
      </c>
      <c r="D66" s="342">
        <v>0</v>
      </c>
      <c r="E66" s="342">
        <v>0</v>
      </c>
      <c r="F66" s="342">
        <v>563</v>
      </c>
      <c r="G66" s="342">
        <v>0</v>
      </c>
      <c r="H66" s="342">
        <v>0</v>
      </c>
      <c r="I66" s="342">
        <v>0</v>
      </c>
      <c r="J66" s="342">
        <v>1808</v>
      </c>
      <c r="K66" s="342">
        <v>5</v>
      </c>
      <c r="L66" s="342">
        <v>558</v>
      </c>
      <c r="M66" s="342">
        <v>0</v>
      </c>
      <c r="N66" s="247">
        <v>0</v>
      </c>
      <c r="O66" s="247">
        <f>D66+E66+F66+G66+H66+J66+L66+M66+N66</f>
        <v>2929</v>
      </c>
      <c r="P66" s="247">
        <v>2366</v>
      </c>
      <c r="Q66" s="251">
        <f t="shared" si="61"/>
        <v>80.8</v>
      </c>
      <c r="R66" s="247">
        <v>0</v>
      </c>
      <c r="S66" s="251">
        <f t="shared" si="62"/>
        <v>0</v>
      </c>
      <c r="T66" s="247">
        <v>563</v>
      </c>
      <c r="U66" s="251">
        <f t="shared" si="63"/>
        <v>19.2</v>
      </c>
      <c r="V66" s="247">
        <v>0</v>
      </c>
      <c r="W66" s="251">
        <f t="shared" si="64"/>
        <v>0</v>
      </c>
      <c r="X66" s="247">
        <f t="shared" si="65"/>
        <v>2929</v>
      </c>
      <c r="Y66" s="247">
        <v>0</v>
      </c>
      <c r="Z66" s="247">
        <v>14</v>
      </c>
      <c r="AA66" s="247">
        <v>12902</v>
      </c>
      <c r="AB66" s="247">
        <v>0</v>
      </c>
      <c r="AC66" s="247">
        <v>0</v>
      </c>
      <c r="AD66" s="247">
        <f t="shared" si="66"/>
        <v>12902</v>
      </c>
    </row>
    <row r="67" spans="1:30" s="343" customFormat="1" ht="14.15" customHeight="1" thickTop="1">
      <c r="A67" s="913"/>
      <c r="B67" s="252"/>
      <c r="C67" s="253" t="s">
        <v>34</v>
      </c>
      <c r="D67" s="259">
        <f t="shared" ref="D67:P67" si="67">+SUM(D63:D66)</f>
        <v>0</v>
      </c>
      <c r="E67" s="259">
        <f t="shared" si="67"/>
        <v>0</v>
      </c>
      <c r="F67" s="259">
        <f t="shared" si="67"/>
        <v>563</v>
      </c>
      <c r="G67" s="259">
        <f t="shared" si="67"/>
        <v>122</v>
      </c>
      <c r="H67" s="259">
        <f t="shared" si="67"/>
        <v>0</v>
      </c>
      <c r="I67" s="259">
        <f t="shared" si="67"/>
        <v>0</v>
      </c>
      <c r="J67" s="259">
        <f t="shared" si="67"/>
        <v>3736</v>
      </c>
      <c r="K67" s="259">
        <f t="shared" si="67"/>
        <v>20</v>
      </c>
      <c r="L67" s="259">
        <f t="shared" si="67"/>
        <v>8319</v>
      </c>
      <c r="M67" s="259">
        <f t="shared" si="67"/>
        <v>0</v>
      </c>
      <c r="N67" s="259">
        <f t="shared" si="67"/>
        <v>0</v>
      </c>
      <c r="O67" s="259">
        <f t="shared" si="67"/>
        <v>12740</v>
      </c>
      <c r="P67" s="259">
        <f t="shared" si="67"/>
        <v>12177</v>
      </c>
      <c r="Q67" s="261">
        <f>+ROUND(P67/X67*100,1)</f>
        <v>95.6</v>
      </c>
      <c r="R67" s="259">
        <f>+SUM(R63:R66)</f>
        <v>0</v>
      </c>
      <c r="S67" s="261">
        <f>+ROUND(R67/X67*100,1)</f>
        <v>0</v>
      </c>
      <c r="T67" s="259">
        <f>+SUM(T63:T66)</f>
        <v>563</v>
      </c>
      <c r="U67" s="261">
        <f>+ROUND(T67/X67*100,1)</f>
        <v>4.4000000000000004</v>
      </c>
      <c r="V67" s="259">
        <f>+SUM(V63:V66)</f>
        <v>0</v>
      </c>
      <c r="W67" s="261">
        <f>+ROUND(V67/X67*100,1)</f>
        <v>0</v>
      </c>
      <c r="X67" s="259">
        <f t="shared" ref="X67:AD67" si="68">+SUM(X63:X66)</f>
        <v>12740</v>
      </c>
      <c r="Y67" s="259">
        <f t="shared" si="68"/>
        <v>0</v>
      </c>
      <c r="Z67" s="259">
        <f t="shared" si="68"/>
        <v>53</v>
      </c>
      <c r="AA67" s="259">
        <f t="shared" si="68"/>
        <v>30968</v>
      </c>
      <c r="AB67" s="259">
        <f t="shared" si="68"/>
        <v>0</v>
      </c>
      <c r="AC67" s="259">
        <f t="shared" si="68"/>
        <v>0</v>
      </c>
      <c r="AD67" s="259">
        <f t="shared" si="68"/>
        <v>30968</v>
      </c>
    </row>
    <row r="68" spans="1:30" s="343" customFormat="1" ht="14.15" customHeight="1">
      <c r="A68" s="913"/>
      <c r="B68" s="263"/>
      <c r="C68" s="264"/>
      <c r="D68" s="270"/>
      <c r="E68" s="270"/>
      <c r="F68" s="270"/>
      <c r="G68" s="270"/>
      <c r="H68" s="270"/>
      <c r="I68" s="270"/>
      <c r="J68" s="270"/>
      <c r="K68" s="270"/>
      <c r="L68" s="270"/>
      <c r="M68" s="270"/>
      <c r="N68" s="270"/>
      <c r="O68" s="270"/>
      <c r="P68" s="270"/>
      <c r="Q68" s="272"/>
      <c r="R68" s="270"/>
      <c r="S68" s="272"/>
      <c r="T68" s="270"/>
      <c r="U68" s="272"/>
      <c r="V68" s="270"/>
      <c r="W68" s="272"/>
      <c r="X68" s="270"/>
      <c r="Y68" s="270"/>
      <c r="Z68" s="270"/>
      <c r="AA68" s="270"/>
      <c r="AB68" s="270"/>
      <c r="AC68" s="270"/>
      <c r="AD68" s="270"/>
    </row>
    <row r="69" spans="1:30" s="10" customFormat="1" ht="14.15" customHeight="1">
      <c r="A69" s="912" t="s">
        <v>255</v>
      </c>
      <c r="B69" s="339">
        <v>57</v>
      </c>
      <c r="C69" s="339" t="s">
        <v>517</v>
      </c>
      <c r="D69" s="339">
        <v>0</v>
      </c>
      <c r="E69" s="339">
        <v>0</v>
      </c>
      <c r="F69" s="339">
        <v>12612</v>
      </c>
      <c r="G69" s="339">
        <v>0</v>
      </c>
      <c r="H69" s="339">
        <v>10316</v>
      </c>
      <c r="I69" s="339">
        <v>15</v>
      </c>
      <c r="J69" s="339">
        <v>0</v>
      </c>
      <c r="K69" s="339">
        <v>0</v>
      </c>
      <c r="L69" s="339">
        <v>0</v>
      </c>
      <c r="M69" s="339">
        <v>0</v>
      </c>
      <c r="N69" s="339">
        <v>0</v>
      </c>
      <c r="O69" s="231">
        <f t="shared" ref="O69:O77" si="69">D69+E69+F69+G69+H69+J69+L69+M69+N69</f>
        <v>22928</v>
      </c>
      <c r="P69" s="231">
        <v>10307</v>
      </c>
      <c r="Q69" s="236">
        <f t="shared" ref="Q69:Q77" si="70">+ROUND(P69/X69*100,1)</f>
        <v>45.9</v>
      </c>
      <c r="R69" s="231">
        <v>0</v>
      </c>
      <c r="S69" s="236">
        <f t="shared" ref="S69:S77" si="71">+ROUND(R69/X69*100,1)</f>
        <v>0</v>
      </c>
      <c r="T69" s="231">
        <v>12142</v>
      </c>
      <c r="U69" s="236">
        <f t="shared" ref="U69:U77" si="72">+ROUND(T69/X69*100,1)</f>
        <v>54.1</v>
      </c>
      <c r="V69" s="231">
        <v>0</v>
      </c>
      <c r="W69" s="236">
        <f t="shared" ref="W69:W77" si="73">+ROUND(V69/X69*100,1)</f>
        <v>0</v>
      </c>
      <c r="X69" s="306">
        <f t="shared" ref="X69:X77" si="74">P69+R69+T69+V69</f>
        <v>22449</v>
      </c>
      <c r="Y69" s="231">
        <v>0</v>
      </c>
      <c r="Z69" s="231">
        <v>60</v>
      </c>
      <c r="AA69" s="231">
        <v>52647</v>
      </c>
      <c r="AB69" s="231">
        <v>0</v>
      </c>
      <c r="AC69" s="231">
        <v>0</v>
      </c>
      <c r="AD69" s="231">
        <f t="shared" ref="AD69:AD77" si="75">AA69+AC69</f>
        <v>52647</v>
      </c>
    </row>
    <row r="70" spans="1:30" s="10" customFormat="1" ht="14.15" customHeight="1">
      <c r="A70" s="912"/>
      <c r="B70" s="340">
        <v>1</v>
      </c>
      <c r="C70" s="340" t="s">
        <v>760</v>
      </c>
      <c r="D70" s="340">
        <v>16759</v>
      </c>
      <c r="E70" s="340">
        <v>0</v>
      </c>
      <c r="F70" s="340">
        <v>306</v>
      </c>
      <c r="G70" s="340">
        <v>5669</v>
      </c>
      <c r="H70" s="340">
        <v>2059</v>
      </c>
      <c r="I70" s="340">
        <v>5</v>
      </c>
      <c r="J70" s="340">
        <v>8125</v>
      </c>
      <c r="K70" s="340">
        <v>16</v>
      </c>
      <c r="L70" s="340">
        <v>1097</v>
      </c>
      <c r="M70" s="340">
        <v>0</v>
      </c>
      <c r="N70" s="340">
        <v>0</v>
      </c>
      <c r="O70" s="239">
        <f t="shared" si="69"/>
        <v>34015</v>
      </c>
      <c r="P70" s="239">
        <v>16039</v>
      </c>
      <c r="Q70" s="244">
        <f t="shared" si="70"/>
        <v>47.4</v>
      </c>
      <c r="R70" s="239">
        <v>938</v>
      </c>
      <c r="S70" s="244">
        <f t="shared" si="71"/>
        <v>2.8</v>
      </c>
      <c r="T70" s="239">
        <v>16114</v>
      </c>
      <c r="U70" s="244">
        <f t="shared" si="72"/>
        <v>47.7</v>
      </c>
      <c r="V70" s="239">
        <v>724</v>
      </c>
      <c r="W70" s="244">
        <f t="shared" si="73"/>
        <v>2.1</v>
      </c>
      <c r="X70" s="239">
        <f t="shared" si="74"/>
        <v>33815</v>
      </c>
      <c r="Y70" s="239">
        <v>2481</v>
      </c>
      <c r="Z70" s="239">
        <v>439</v>
      </c>
      <c r="AA70" s="239">
        <v>116836</v>
      </c>
      <c r="AB70" s="239">
        <v>1</v>
      </c>
      <c r="AC70" s="239">
        <v>502</v>
      </c>
      <c r="AD70" s="239">
        <f t="shared" si="75"/>
        <v>117338</v>
      </c>
    </row>
    <row r="71" spans="1:30" s="10" customFormat="1" ht="14.15" customHeight="1">
      <c r="A71" s="912"/>
      <c r="B71" s="340">
        <v>10</v>
      </c>
      <c r="C71" s="340" t="s">
        <v>761</v>
      </c>
      <c r="D71" s="340">
        <v>1549</v>
      </c>
      <c r="E71" s="340">
        <v>0</v>
      </c>
      <c r="F71" s="340">
        <v>1366</v>
      </c>
      <c r="G71" s="340">
        <v>1118</v>
      </c>
      <c r="H71" s="340">
        <v>0</v>
      </c>
      <c r="I71" s="340">
        <v>0</v>
      </c>
      <c r="J71" s="340">
        <v>3294</v>
      </c>
      <c r="K71" s="340">
        <v>14</v>
      </c>
      <c r="L71" s="340">
        <v>467</v>
      </c>
      <c r="M71" s="340">
        <v>0</v>
      </c>
      <c r="N71" s="340">
        <v>0</v>
      </c>
      <c r="O71" s="239">
        <f t="shared" si="69"/>
        <v>7794</v>
      </c>
      <c r="P71" s="239">
        <v>2998</v>
      </c>
      <c r="Q71" s="244">
        <f t="shared" si="70"/>
        <v>42.3</v>
      </c>
      <c r="R71" s="239">
        <v>1867</v>
      </c>
      <c r="S71" s="244">
        <f t="shared" si="71"/>
        <v>26.3</v>
      </c>
      <c r="T71" s="239">
        <v>2227</v>
      </c>
      <c r="U71" s="244">
        <f t="shared" si="72"/>
        <v>31.4</v>
      </c>
      <c r="V71" s="239">
        <v>0</v>
      </c>
      <c r="W71" s="244">
        <f t="shared" si="73"/>
        <v>0</v>
      </c>
      <c r="X71" s="239">
        <f t="shared" si="74"/>
        <v>7092</v>
      </c>
      <c r="Y71" s="239">
        <v>0</v>
      </c>
      <c r="Z71" s="239">
        <v>26</v>
      </c>
      <c r="AA71" s="239">
        <v>25000</v>
      </c>
      <c r="AB71" s="239">
        <v>0</v>
      </c>
      <c r="AC71" s="239">
        <v>0</v>
      </c>
      <c r="AD71" s="239">
        <f t="shared" si="75"/>
        <v>25000</v>
      </c>
    </row>
    <row r="72" spans="1:30" s="10" customFormat="1" ht="14.15" customHeight="1">
      <c r="A72" s="912"/>
      <c r="B72" s="340">
        <v>26</v>
      </c>
      <c r="C72" s="340" t="s">
        <v>762</v>
      </c>
      <c r="D72" s="340">
        <v>0</v>
      </c>
      <c r="E72" s="340">
        <v>0</v>
      </c>
      <c r="F72" s="340">
        <v>1143</v>
      </c>
      <c r="G72" s="340">
        <v>0</v>
      </c>
      <c r="H72" s="340">
        <v>0</v>
      </c>
      <c r="I72" s="340">
        <v>0</v>
      </c>
      <c r="J72" s="340">
        <v>48</v>
      </c>
      <c r="K72" s="340">
        <v>1</v>
      </c>
      <c r="L72" s="340">
        <v>533</v>
      </c>
      <c r="M72" s="340">
        <v>0</v>
      </c>
      <c r="N72" s="340">
        <v>0</v>
      </c>
      <c r="O72" s="239">
        <f t="shared" si="69"/>
        <v>1724</v>
      </c>
      <c r="P72" s="239">
        <v>306</v>
      </c>
      <c r="Q72" s="244">
        <f t="shared" si="70"/>
        <v>37</v>
      </c>
      <c r="R72" s="239">
        <v>498</v>
      </c>
      <c r="S72" s="244">
        <f t="shared" si="71"/>
        <v>60.3</v>
      </c>
      <c r="T72" s="239">
        <v>22</v>
      </c>
      <c r="U72" s="244">
        <f t="shared" si="72"/>
        <v>2.7</v>
      </c>
      <c r="V72" s="239">
        <v>0</v>
      </c>
      <c r="W72" s="244">
        <f t="shared" si="73"/>
        <v>0</v>
      </c>
      <c r="X72" s="239">
        <f t="shared" si="74"/>
        <v>826</v>
      </c>
      <c r="Y72" s="239">
        <v>0</v>
      </c>
      <c r="Z72" s="239">
        <v>16</v>
      </c>
      <c r="AA72" s="239">
        <v>1047</v>
      </c>
      <c r="AB72" s="239">
        <v>0</v>
      </c>
      <c r="AC72" s="239">
        <v>0</v>
      </c>
      <c r="AD72" s="239">
        <f t="shared" si="75"/>
        <v>1047</v>
      </c>
    </row>
    <row r="73" spans="1:30" s="10" customFormat="1" ht="14.15" customHeight="1">
      <c r="A73" s="912"/>
      <c r="B73" s="340">
        <v>15</v>
      </c>
      <c r="C73" s="340" t="s">
        <v>763</v>
      </c>
      <c r="D73" s="340">
        <v>0</v>
      </c>
      <c r="E73" s="340">
        <v>0</v>
      </c>
      <c r="F73" s="340">
        <v>0</v>
      </c>
      <c r="G73" s="340">
        <v>131</v>
      </c>
      <c r="H73" s="340">
        <v>0</v>
      </c>
      <c r="I73" s="340">
        <v>0</v>
      </c>
      <c r="J73" s="340">
        <v>1251</v>
      </c>
      <c r="K73" s="340">
        <v>5</v>
      </c>
      <c r="L73" s="340">
        <v>0</v>
      </c>
      <c r="M73" s="340">
        <v>0</v>
      </c>
      <c r="N73" s="340">
        <v>0</v>
      </c>
      <c r="O73" s="239">
        <f t="shared" si="69"/>
        <v>1382</v>
      </c>
      <c r="P73" s="239">
        <v>204</v>
      </c>
      <c r="Q73" s="244">
        <f t="shared" si="70"/>
        <v>14.8</v>
      </c>
      <c r="R73" s="239">
        <v>0</v>
      </c>
      <c r="S73" s="244">
        <f t="shared" si="71"/>
        <v>0</v>
      </c>
      <c r="T73" s="239">
        <v>1178</v>
      </c>
      <c r="U73" s="244">
        <f t="shared" si="72"/>
        <v>85.2</v>
      </c>
      <c r="V73" s="239">
        <v>0</v>
      </c>
      <c r="W73" s="244">
        <f t="shared" si="73"/>
        <v>0</v>
      </c>
      <c r="X73" s="239">
        <f t="shared" si="74"/>
        <v>1382</v>
      </c>
      <c r="Y73" s="239">
        <v>0</v>
      </c>
      <c r="Z73" s="239">
        <v>3</v>
      </c>
      <c r="AA73" s="239">
        <v>16800</v>
      </c>
      <c r="AB73" s="239">
        <v>0</v>
      </c>
      <c r="AC73" s="239">
        <v>0</v>
      </c>
      <c r="AD73" s="239">
        <f t="shared" si="75"/>
        <v>16800</v>
      </c>
    </row>
    <row r="74" spans="1:30" s="10" customFormat="1" ht="14.15" customHeight="1">
      <c r="A74" s="912"/>
      <c r="B74" s="340">
        <v>87</v>
      </c>
      <c r="C74" s="340" t="s">
        <v>764</v>
      </c>
      <c r="D74" s="340">
        <v>0</v>
      </c>
      <c r="E74" s="340">
        <v>0</v>
      </c>
      <c r="F74" s="340">
        <v>555</v>
      </c>
      <c r="G74" s="340">
        <v>0</v>
      </c>
      <c r="H74" s="340">
        <v>0</v>
      </c>
      <c r="I74" s="340">
        <v>0</v>
      </c>
      <c r="J74" s="340">
        <v>474</v>
      </c>
      <c r="K74" s="340">
        <v>6</v>
      </c>
      <c r="L74" s="340">
        <v>389</v>
      </c>
      <c r="M74" s="340">
        <v>0</v>
      </c>
      <c r="N74" s="340">
        <v>0</v>
      </c>
      <c r="O74" s="239">
        <f t="shared" si="69"/>
        <v>1418</v>
      </c>
      <c r="P74" s="239">
        <v>474</v>
      </c>
      <c r="Q74" s="244">
        <f t="shared" si="70"/>
        <v>46.1</v>
      </c>
      <c r="R74" s="239">
        <v>0</v>
      </c>
      <c r="S74" s="244">
        <f t="shared" si="71"/>
        <v>0</v>
      </c>
      <c r="T74" s="239">
        <v>555</v>
      </c>
      <c r="U74" s="244">
        <f t="shared" si="72"/>
        <v>53.9</v>
      </c>
      <c r="V74" s="239">
        <v>0</v>
      </c>
      <c r="W74" s="244">
        <f t="shared" si="73"/>
        <v>0</v>
      </c>
      <c r="X74" s="239">
        <f t="shared" si="74"/>
        <v>1029</v>
      </c>
      <c r="Y74" s="239">
        <v>0</v>
      </c>
      <c r="Z74" s="239">
        <v>19</v>
      </c>
      <c r="AA74" s="239">
        <v>3443</v>
      </c>
      <c r="AB74" s="239">
        <v>0</v>
      </c>
      <c r="AC74" s="239">
        <v>0</v>
      </c>
      <c r="AD74" s="239">
        <f t="shared" si="75"/>
        <v>3443</v>
      </c>
    </row>
    <row r="75" spans="1:30" s="10" customFormat="1" ht="14.15" customHeight="1">
      <c r="A75" s="912"/>
      <c r="B75" s="340">
        <v>81</v>
      </c>
      <c r="C75" s="340" t="s">
        <v>765</v>
      </c>
      <c r="D75" s="340">
        <v>0</v>
      </c>
      <c r="E75" s="340">
        <v>0</v>
      </c>
      <c r="F75" s="340">
        <v>49</v>
      </c>
      <c r="G75" s="340">
        <v>28</v>
      </c>
      <c r="H75" s="340">
        <v>0</v>
      </c>
      <c r="I75" s="340">
        <v>0</v>
      </c>
      <c r="J75" s="340">
        <v>354</v>
      </c>
      <c r="K75" s="340">
        <v>9</v>
      </c>
      <c r="L75" s="340">
        <v>789</v>
      </c>
      <c r="M75" s="340">
        <v>0</v>
      </c>
      <c r="N75" s="340">
        <v>0</v>
      </c>
      <c r="O75" s="239">
        <f t="shared" si="69"/>
        <v>1220</v>
      </c>
      <c r="P75" s="239">
        <v>1170</v>
      </c>
      <c r="Q75" s="244">
        <f t="shared" si="70"/>
        <v>95.9</v>
      </c>
      <c r="R75" s="239">
        <v>50</v>
      </c>
      <c r="S75" s="244">
        <f t="shared" si="71"/>
        <v>4.0999999999999996</v>
      </c>
      <c r="T75" s="239">
        <v>0</v>
      </c>
      <c r="U75" s="244">
        <f t="shared" si="72"/>
        <v>0</v>
      </c>
      <c r="V75" s="239">
        <v>0</v>
      </c>
      <c r="W75" s="244">
        <f t="shared" si="73"/>
        <v>0</v>
      </c>
      <c r="X75" s="239">
        <f t="shared" si="74"/>
        <v>1220</v>
      </c>
      <c r="Y75" s="239">
        <v>0</v>
      </c>
      <c r="Z75" s="239">
        <v>18</v>
      </c>
      <c r="AA75" s="239">
        <v>4343</v>
      </c>
      <c r="AB75" s="239">
        <v>0</v>
      </c>
      <c r="AC75" s="239">
        <v>0</v>
      </c>
      <c r="AD75" s="239">
        <f t="shared" si="75"/>
        <v>4343</v>
      </c>
    </row>
    <row r="76" spans="1:30" s="10" customFormat="1" ht="14.15" customHeight="1">
      <c r="A76" s="912"/>
      <c r="B76" s="340">
        <v>54</v>
      </c>
      <c r="C76" s="340" t="s">
        <v>766</v>
      </c>
      <c r="D76" s="340">
        <v>0</v>
      </c>
      <c r="E76" s="340">
        <v>0</v>
      </c>
      <c r="F76" s="340">
        <v>0</v>
      </c>
      <c r="G76" s="340">
        <v>469</v>
      </c>
      <c r="H76" s="340">
        <v>0</v>
      </c>
      <c r="I76" s="340">
        <v>0</v>
      </c>
      <c r="J76" s="340">
        <v>591</v>
      </c>
      <c r="K76" s="340">
        <v>5</v>
      </c>
      <c r="L76" s="340">
        <v>0</v>
      </c>
      <c r="M76" s="340">
        <v>0</v>
      </c>
      <c r="N76" s="340">
        <v>0</v>
      </c>
      <c r="O76" s="239">
        <f t="shared" si="69"/>
        <v>1060</v>
      </c>
      <c r="P76" s="239">
        <v>455</v>
      </c>
      <c r="Q76" s="244">
        <f t="shared" si="70"/>
        <v>46</v>
      </c>
      <c r="R76" s="239">
        <v>0</v>
      </c>
      <c r="S76" s="244">
        <f t="shared" si="71"/>
        <v>0</v>
      </c>
      <c r="T76" s="239">
        <v>535</v>
      </c>
      <c r="U76" s="244">
        <f t="shared" si="72"/>
        <v>54</v>
      </c>
      <c r="V76" s="239">
        <v>0</v>
      </c>
      <c r="W76" s="244">
        <f t="shared" si="73"/>
        <v>0</v>
      </c>
      <c r="X76" s="239">
        <f t="shared" si="74"/>
        <v>990</v>
      </c>
      <c r="Y76" s="239">
        <v>0</v>
      </c>
      <c r="Z76" s="239">
        <v>22</v>
      </c>
      <c r="AA76" s="239">
        <v>3964</v>
      </c>
      <c r="AB76" s="239">
        <v>0</v>
      </c>
      <c r="AC76" s="239">
        <v>0</v>
      </c>
      <c r="AD76" s="239">
        <f t="shared" si="75"/>
        <v>3964</v>
      </c>
    </row>
    <row r="77" spans="1:30" s="10" customFormat="1" ht="14.15" customHeight="1" thickBot="1">
      <c r="A77" s="912"/>
      <c r="B77" s="342">
        <v>75</v>
      </c>
      <c r="C77" s="342" t="s">
        <v>767</v>
      </c>
      <c r="D77" s="342">
        <v>0</v>
      </c>
      <c r="E77" s="342">
        <v>0</v>
      </c>
      <c r="F77" s="342">
        <v>393</v>
      </c>
      <c r="G77" s="342">
        <v>32</v>
      </c>
      <c r="H77" s="342">
        <v>0</v>
      </c>
      <c r="I77" s="342">
        <v>0</v>
      </c>
      <c r="J77" s="342">
        <v>152</v>
      </c>
      <c r="K77" s="342">
        <v>4</v>
      </c>
      <c r="L77" s="342">
        <v>0</v>
      </c>
      <c r="M77" s="342">
        <v>0</v>
      </c>
      <c r="N77" s="342">
        <v>0</v>
      </c>
      <c r="O77" s="247">
        <f t="shared" si="69"/>
        <v>577</v>
      </c>
      <c r="P77" s="247">
        <v>0</v>
      </c>
      <c r="Q77" s="251">
        <f t="shared" si="70"/>
        <v>0</v>
      </c>
      <c r="R77" s="247">
        <v>0</v>
      </c>
      <c r="S77" s="251">
        <f t="shared" si="71"/>
        <v>0</v>
      </c>
      <c r="T77" s="247">
        <v>483</v>
      </c>
      <c r="U77" s="251">
        <f t="shared" si="72"/>
        <v>100</v>
      </c>
      <c r="V77" s="247">
        <v>0</v>
      </c>
      <c r="W77" s="251">
        <f t="shared" si="73"/>
        <v>0</v>
      </c>
      <c r="X77" s="247">
        <f t="shared" si="74"/>
        <v>483</v>
      </c>
      <c r="Y77" s="247">
        <v>0</v>
      </c>
      <c r="Z77" s="247">
        <v>6</v>
      </c>
      <c r="AA77" s="247">
        <v>2125</v>
      </c>
      <c r="AB77" s="247">
        <v>0</v>
      </c>
      <c r="AC77" s="247">
        <v>0</v>
      </c>
      <c r="AD77" s="247">
        <f t="shared" si="75"/>
        <v>2125</v>
      </c>
    </row>
    <row r="78" spans="1:30" s="343" customFormat="1" ht="14.15" customHeight="1" thickTop="1">
      <c r="A78" s="912"/>
      <c r="B78" s="252"/>
      <c r="C78" s="253" t="s">
        <v>34</v>
      </c>
      <c r="D78" s="259">
        <f t="shared" ref="D78:P78" si="76">+SUM(D69:D77)</f>
        <v>18308</v>
      </c>
      <c r="E78" s="259">
        <f t="shared" si="76"/>
        <v>0</v>
      </c>
      <c r="F78" s="259">
        <f t="shared" si="76"/>
        <v>16424</v>
      </c>
      <c r="G78" s="259">
        <f t="shared" si="76"/>
        <v>7447</v>
      </c>
      <c r="H78" s="259">
        <f t="shared" si="76"/>
        <v>12375</v>
      </c>
      <c r="I78" s="259">
        <f t="shared" si="76"/>
        <v>20</v>
      </c>
      <c r="J78" s="259">
        <f t="shared" si="76"/>
        <v>14289</v>
      </c>
      <c r="K78" s="259">
        <f t="shared" si="76"/>
        <v>60</v>
      </c>
      <c r="L78" s="259">
        <f t="shared" si="76"/>
        <v>3275</v>
      </c>
      <c r="M78" s="259">
        <f t="shared" si="76"/>
        <v>0</v>
      </c>
      <c r="N78" s="259">
        <f t="shared" si="76"/>
        <v>0</v>
      </c>
      <c r="O78" s="259">
        <f t="shared" si="76"/>
        <v>72118</v>
      </c>
      <c r="P78" s="259">
        <f t="shared" si="76"/>
        <v>31953</v>
      </c>
      <c r="Q78" s="261">
        <f>+ROUND(P78/X78*100,1)</f>
        <v>46.1</v>
      </c>
      <c r="R78" s="259">
        <f>+SUM(R69:R77)</f>
        <v>3353</v>
      </c>
      <c r="S78" s="261">
        <f>+ROUND(R78/X78*100,1)</f>
        <v>4.8</v>
      </c>
      <c r="T78" s="259">
        <f>+SUM(T69:T77)</f>
        <v>33256</v>
      </c>
      <c r="U78" s="261">
        <f>+ROUND(T78/X78*100,1)</f>
        <v>48</v>
      </c>
      <c r="V78" s="259">
        <f>+SUM(V69:V77)</f>
        <v>724</v>
      </c>
      <c r="W78" s="261">
        <f>+ROUND(V78/X78*100,1)</f>
        <v>1</v>
      </c>
      <c r="X78" s="259">
        <f>SUM(X69:X77)</f>
        <v>69286</v>
      </c>
      <c r="Y78" s="259">
        <f t="shared" ref="Y78:AD78" si="77">+SUM(Y69:Y77)</f>
        <v>2481</v>
      </c>
      <c r="Z78" s="259">
        <f t="shared" si="77"/>
        <v>609</v>
      </c>
      <c r="AA78" s="259">
        <f t="shared" si="77"/>
        <v>226205</v>
      </c>
      <c r="AB78" s="259">
        <f t="shared" si="77"/>
        <v>1</v>
      </c>
      <c r="AC78" s="259">
        <f t="shared" si="77"/>
        <v>502</v>
      </c>
      <c r="AD78" s="259">
        <f t="shared" si="77"/>
        <v>226707</v>
      </c>
    </row>
    <row r="79" spans="1:30" s="343" customFormat="1" ht="14.15" customHeight="1">
      <c r="A79" s="912"/>
      <c r="B79" s="263"/>
      <c r="C79" s="264"/>
      <c r="D79" s="270"/>
      <c r="E79" s="270"/>
      <c r="F79" s="270"/>
      <c r="G79" s="270"/>
      <c r="H79" s="270"/>
      <c r="I79" s="270"/>
      <c r="J79" s="270"/>
      <c r="K79" s="270"/>
      <c r="L79" s="270"/>
      <c r="M79" s="270"/>
      <c r="N79" s="270"/>
      <c r="O79" s="270"/>
      <c r="P79" s="270"/>
      <c r="Q79" s="272"/>
      <c r="R79" s="270"/>
      <c r="S79" s="272"/>
      <c r="T79" s="270"/>
      <c r="U79" s="272"/>
      <c r="V79" s="270"/>
      <c r="W79" s="272"/>
      <c r="X79" s="270"/>
      <c r="Y79" s="270"/>
      <c r="Z79" s="270"/>
      <c r="AA79" s="270"/>
      <c r="AB79" s="270"/>
      <c r="AC79" s="270"/>
      <c r="AD79" s="270"/>
    </row>
    <row r="80" spans="1:30" s="10" customFormat="1" ht="14.15" customHeight="1">
      <c r="A80" s="912" t="s">
        <v>768</v>
      </c>
      <c r="B80" s="339">
        <v>2</v>
      </c>
      <c r="C80" s="339" t="s">
        <v>769</v>
      </c>
      <c r="D80" s="339">
        <v>0</v>
      </c>
      <c r="E80" s="339">
        <v>0</v>
      </c>
      <c r="F80" s="339">
        <v>1699</v>
      </c>
      <c r="G80" s="339">
        <v>219</v>
      </c>
      <c r="H80" s="339">
        <v>1668</v>
      </c>
      <c r="I80" s="339">
        <v>4</v>
      </c>
      <c r="J80" s="339">
        <v>3131</v>
      </c>
      <c r="K80" s="339">
        <v>10</v>
      </c>
      <c r="L80" s="339">
        <v>0</v>
      </c>
      <c r="M80" s="339">
        <v>0</v>
      </c>
      <c r="N80" s="339">
        <v>0</v>
      </c>
      <c r="O80" s="231">
        <f t="shared" ref="O80:O84" si="78">D80+E80+F80+G80+H80+J80+L80+M80+N80</f>
        <v>6717</v>
      </c>
      <c r="P80" s="231">
        <v>4800</v>
      </c>
      <c r="Q80" s="236">
        <f t="shared" ref="Q80:Q84" si="79">+ROUND(P80/X80*100,1)</f>
        <v>71.5</v>
      </c>
      <c r="R80" s="231">
        <v>0</v>
      </c>
      <c r="S80" s="236">
        <f t="shared" ref="S80:S84" si="80">+ROUND(R80/X80*100,1)</f>
        <v>0</v>
      </c>
      <c r="T80" s="231">
        <v>1917</v>
      </c>
      <c r="U80" s="236">
        <f t="shared" ref="U80:U84" si="81">+ROUND(T80/X80*100,1)</f>
        <v>28.5</v>
      </c>
      <c r="V80" s="231">
        <v>0</v>
      </c>
      <c r="W80" s="236">
        <f t="shared" ref="W80:W84" si="82">+ROUND(V80/X80*100,1)</f>
        <v>0</v>
      </c>
      <c r="X80" s="231">
        <f t="shared" ref="X80:X84" si="83">P80+R80+T80+V80</f>
        <v>6717</v>
      </c>
      <c r="Y80" s="231">
        <v>0</v>
      </c>
      <c r="Z80" s="231">
        <v>35</v>
      </c>
      <c r="AA80" s="231">
        <v>15220</v>
      </c>
      <c r="AB80" s="231">
        <v>0</v>
      </c>
      <c r="AC80" s="231">
        <v>0</v>
      </c>
      <c r="AD80" s="231">
        <f t="shared" ref="AD80:AD84" si="84">AA80+AC80</f>
        <v>15220</v>
      </c>
    </row>
    <row r="81" spans="1:30" s="10" customFormat="1" ht="14.15" customHeight="1">
      <c r="A81" s="912"/>
      <c r="B81" s="340">
        <v>27</v>
      </c>
      <c r="C81" s="340" t="s">
        <v>770</v>
      </c>
      <c r="D81" s="340">
        <v>0</v>
      </c>
      <c r="E81" s="340">
        <v>0</v>
      </c>
      <c r="F81" s="340">
        <v>0</v>
      </c>
      <c r="G81" s="340">
        <v>0</v>
      </c>
      <c r="H81" s="340">
        <v>0</v>
      </c>
      <c r="I81" s="340">
        <v>0</v>
      </c>
      <c r="J81" s="340">
        <v>2280</v>
      </c>
      <c r="K81" s="340">
        <v>11</v>
      </c>
      <c r="L81" s="340">
        <v>578</v>
      </c>
      <c r="M81" s="340">
        <v>0</v>
      </c>
      <c r="N81" s="340">
        <v>0</v>
      </c>
      <c r="O81" s="239">
        <f t="shared" si="78"/>
        <v>2858</v>
      </c>
      <c r="P81" s="239">
        <v>2858</v>
      </c>
      <c r="Q81" s="244">
        <f t="shared" si="79"/>
        <v>100</v>
      </c>
      <c r="R81" s="239">
        <v>0</v>
      </c>
      <c r="S81" s="244">
        <f t="shared" si="80"/>
        <v>0</v>
      </c>
      <c r="T81" s="239">
        <v>0</v>
      </c>
      <c r="U81" s="244">
        <f t="shared" si="81"/>
        <v>0</v>
      </c>
      <c r="V81" s="239">
        <v>0</v>
      </c>
      <c r="W81" s="244">
        <f t="shared" si="82"/>
        <v>0</v>
      </c>
      <c r="X81" s="239">
        <f t="shared" si="83"/>
        <v>2858</v>
      </c>
      <c r="Y81" s="239">
        <v>0</v>
      </c>
      <c r="Z81" s="239">
        <v>41</v>
      </c>
      <c r="AA81" s="239">
        <v>12112</v>
      </c>
      <c r="AB81" s="239">
        <v>0</v>
      </c>
      <c r="AC81" s="239">
        <v>0</v>
      </c>
      <c r="AD81" s="239">
        <f t="shared" si="84"/>
        <v>12112</v>
      </c>
    </row>
    <row r="82" spans="1:30" s="10" customFormat="1" ht="14.15" customHeight="1">
      <c r="A82" s="912"/>
      <c r="B82" s="340">
        <v>21</v>
      </c>
      <c r="C82" s="340" t="s">
        <v>771</v>
      </c>
      <c r="D82" s="340">
        <v>0</v>
      </c>
      <c r="E82" s="340">
        <v>0</v>
      </c>
      <c r="F82" s="340">
        <v>917</v>
      </c>
      <c r="G82" s="340">
        <v>0</v>
      </c>
      <c r="H82" s="340">
        <v>0</v>
      </c>
      <c r="I82" s="340">
        <v>0</v>
      </c>
      <c r="J82" s="340">
        <v>124</v>
      </c>
      <c r="K82" s="340">
        <v>2</v>
      </c>
      <c r="L82" s="340">
        <v>1044</v>
      </c>
      <c r="M82" s="340">
        <v>0</v>
      </c>
      <c r="N82" s="340">
        <v>0</v>
      </c>
      <c r="O82" s="239">
        <f t="shared" si="78"/>
        <v>2085</v>
      </c>
      <c r="P82" s="239">
        <v>868</v>
      </c>
      <c r="Q82" s="244">
        <f t="shared" si="79"/>
        <v>56</v>
      </c>
      <c r="R82" s="239">
        <v>0</v>
      </c>
      <c r="S82" s="244">
        <f t="shared" si="80"/>
        <v>0</v>
      </c>
      <c r="T82" s="239">
        <v>429</v>
      </c>
      <c r="U82" s="244">
        <f t="shared" si="81"/>
        <v>27.7</v>
      </c>
      <c r="V82" s="239">
        <v>254</v>
      </c>
      <c r="W82" s="244">
        <f t="shared" si="82"/>
        <v>16.399999999999999</v>
      </c>
      <c r="X82" s="239">
        <f t="shared" si="83"/>
        <v>1551</v>
      </c>
      <c r="Y82" s="239">
        <v>254</v>
      </c>
      <c r="Z82" s="239">
        <v>26</v>
      </c>
      <c r="AA82" s="239">
        <v>6438</v>
      </c>
      <c r="AB82" s="239">
        <v>0</v>
      </c>
      <c r="AC82" s="239">
        <v>0</v>
      </c>
      <c r="AD82" s="239">
        <f t="shared" si="84"/>
        <v>6438</v>
      </c>
    </row>
    <row r="83" spans="1:30" s="10" customFormat="1" ht="14.15" customHeight="1">
      <c r="A83" s="912"/>
      <c r="B83" s="340">
        <v>40</v>
      </c>
      <c r="C83" s="340" t="s">
        <v>772</v>
      </c>
      <c r="D83" s="340">
        <v>0</v>
      </c>
      <c r="E83" s="340">
        <v>0</v>
      </c>
      <c r="F83" s="340">
        <v>0</v>
      </c>
      <c r="G83" s="340">
        <v>0</v>
      </c>
      <c r="H83" s="340">
        <v>0</v>
      </c>
      <c r="I83" s="340">
        <v>0</v>
      </c>
      <c r="J83" s="340">
        <v>18</v>
      </c>
      <c r="K83" s="340">
        <v>2</v>
      </c>
      <c r="L83" s="340">
        <v>458</v>
      </c>
      <c r="M83" s="340">
        <v>0</v>
      </c>
      <c r="N83" s="340">
        <v>0</v>
      </c>
      <c r="O83" s="239">
        <f t="shared" si="78"/>
        <v>476</v>
      </c>
      <c r="P83" s="239">
        <v>476</v>
      </c>
      <c r="Q83" s="244">
        <f t="shared" si="79"/>
        <v>100</v>
      </c>
      <c r="R83" s="239">
        <v>0</v>
      </c>
      <c r="S83" s="244">
        <f t="shared" si="80"/>
        <v>0</v>
      </c>
      <c r="T83" s="239">
        <v>0</v>
      </c>
      <c r="U83" s="244">
        <f t="shared" si="81"/>
        <v>0</v>
      </c>
      <c r="V83" s="239">
        <v>0</v>
      </c>
      <c r="W83" s="244">
        <f t="shared" si="82"/>
        <v>0</v>
      </c>
      <c r="X83" s="239">
        <f t="shared" si="83"/>
        <v>476</v>
      </c>
      <c r="Y83" s="239">
        <v>0</v>
      </c>
      <c r="Z83" s="239">
        <v>6</v>
      </c>
      <c r="AA83" s="239">
        <v>2400</v>
      </c>
      <c r="AB83" s="239">
        <v>0</v>
      </c>
      <c r="AC83" s="239">
        <v>0</v>
      </c>
      <c r="AD83" s="239">
        <f t="shared" si="84"/>
        <v>2400</v>
      </c>
    </row>
    <row r="84" spans="1:30" s="10" customFormat="1" ht="14.15" customHeight="1" thickBot="1">
      <c r="A84" s="912"/>
      <c r="B84" s="342">
        <v>23</v>
      </c>
      <c r="C84" s="342" t="s">
        <v>773</v>
      </c>
      <c r="D84" s="342">
        <v>0</v>
      </c>
      <c r="E84" s="342">
        <v>0</v>
      </c>
      <c r="F84" s="342">
        <v>0</v>
      </c>
      <c r="G84" s="342">
        <v>0</v>
      </c>
      <c r="H84" s="342">
        <v>0</v>
      </c>
      <c r="I84" s="342">
        <v>0</v>
      </c>
      <c r="J84" s="342">
        <v>2</v>
      </c>
      <c r="K84" s="342">
        <v>1</v>
      </c>
      <c r="L84" s="342">
        <v>685</v>
      </c>
      <c r="M84" s="342">
        <v>0</v>
      </c>
      <c r="N84" s="342">
        <v>0</v>
      </c>
      <c r="O84" s="247">
        <f t="shared" si="78"/>
        <v>687</v>
      </c>
      <c r="P84" s="247">
        <v>685</v>
      </c>
      <c r="Q84" s="251">
        <f t="shared" si="79"/>
        <v>100</v>
      </c>
      <c r="R84" s="247">
        <v>0</v>
      </c>
      <c r="S84" s="251">
        <f t="shared" si="80"/>
        <v>0</v>
      </c>
      <c r="T84" s="247">
        <v>0</v>
      </c>
      <c r="U84" s="251">
        <f t="shared" si="81"/>
        <v>0</v>
      </c>
      <c r="V84" s="247">
        <v>0</v>
      </c>
      <c r="W84" s="251">
        <f t="shared" si="82"/>
        <v>0</v>
      </c>
      <c r="X84" s="247">
        <f t="shared" si="83"/>
        <v>685</v>
      </c>
      <c r="Y84" s="247">
        <v>0</v>
      </c>
      <c r="Z84" s="247">
        <v>7</v>
      </c>
      <c r="AA84" s="247">
        <v>5497</v>
      </c>
      <c r="AB84" s="247">
        <v>0</v>
      </c>
      <c r="AC84" s="247">
        <v>0</v>
      </c>
      <c r="AD84" s="247">
        <f t="shared" si="84"/>
        <v>5497</v>
      </c>
    </row>
    <row r="85" spans="1:30" s="343" customFormat="1" ht="14.15" customHeight="1" thickTop="1">
      <c r="A85" s="912"/>
      <c r="B85" s="252"/>
      <c r="C85" s="253" t="s">
        <v>34</v>
      </c>
      <c r="D85" s="259">
        <f t="shared" ref="D85:P85" si="85">+SUM(D80:D84)</f>
        <v>0</v>
      </c>
      <c r="E85" s="259">
        <f t="shared" si="85"/>
        <v>0</v>
      </c>
      <c r="F85" s="259">
        <f t="shared" si="85"/>
        <v>2616</v>
      </c>
      <c r="G85" s="259">
        <f t="shared" si="85"/>
        <v>219</v>
      </c>
      <c r="H85" s="259">
        <f t="shared" si="85"/>
        <v>1668</v>
      </c>
      <c r="I85" s="259">
        <f t="shared" si="85"/>
        <v>4</v>
      </c>
      <c r="J85" s="259">
        <f t="shared" si="85"/>
        <v>5555</v>
      </c>
      <c r="K85" s="259">
        <f t="shared" si="85"/>
        <v>26</v>
      </c>
      <c r="L85" s="259">
        <f t="shared" si="85"/>
        <v>2765</v>
      </c>
      <c r="M85" s="259">
        <f t="shared" si="85"/>
        <v>0</v>
      </c>
      <c r="N85" s="259">
        <f t="shared" si="85"/>
        <v>0</v>
      </c>
      <c r="O85" s="259">
        <f t="shared" si="85"/>
        <v>12823</v>
      </c>
      <c r="P85" s="259">
        <f t="shared" si="85"/>
        <v>9687</v>
      </c>
      <c r="Q85" s="261">
        <f>+ROUND(P85/X85*100,1)</f>
        <v>78.8</v>
      </c>
      <c r="R85" s="259">
        <f>+SUM(R80:R84)</f>
        <v>0</v>
      </c>
      <c r="S85" s="261">
        <f>+ROUND(R85/X85*100,1)</f>
        <v>0</v>
      </c>
      <c r="T85" s="259">
        <f>+SUM(T80:T84)</f>
        <v>2346</v>
      </c>
      <c r="U85" s="261">
        <f>+ROUND(T85/X85*100,1)</f>
        <v>19.100000000000001</v>
      </c>
      <c r="V85" s="259">
        <f>+SUM(V80:V84)</f>
        <v>254</v>
      </c>
      <c r="W85" s="261">
        <f>+ROUND(V85/X85*100,1)</f>
        <v>2.1</v>
      </c>
      <c r="X85" s="259">
        <f t="shared" ref="X85:AD85" si="86">+SUM(X80:X84)</f>
        <v>12287</v>
      </c>
      <c r="Y85" s="259">
        <f t="shared" si="86"/>
        <v>254</v>
      </c>
      <c r="Z85" s="259">
        <f t="shared" si="86"/>
        <v>115</v>
      </c>
      <c r="AA85" s="259">
        <f t="shared" si="86"/>
        <v>41667</v>
      </c>
      <c r="AB85" s="259">
        <f t="shared" si="86"/>
        <v>0</v>
      </c>
      <c r="AC85" s="259">
        <f t="shared" si="86"/>
        <v>0</v>
      </c>
      <c r="AD85" s="259">
        <f t="shared" si="86"/>
        <v>41667</v>
      </c>
    </row>
    <row r="86" spans="1:30" s="343" customFormat="1" ht="14.15" customHeight="1">
      <c r="A86" s="912"/>
      <c r="B86" s="263"/>
      <c r="C86" s="264"/>
      <c r="D86" s="270"/>
      <c r="E86" s="270"/>
      <c r="F86" s="270"/>
      <c r="G86" s="270"/>
      <c r="H86" s="270"/>
      <c r="I86" s="270"/>
      <c r="J86" s="270"/>
      <c r="K86" s="270"/>
      <c r="L86" s="270"/>
      <c r="M86" s="270"/>
      <c r="N86" s="270"/>
      <c r="O86" s="270"/>
      <c r="P86" s="270"/>
      <c r="Q86" s="272"/>
      <c r="R86" s="270"/>
      <c r="S86" s="272"/>
      <c r="T86" s="270"/>
      <c r="U86" s="272"/>
      <c r="V86" s="270"/>
      <c r="W86" s="272"/>
      <c r="X86" s="270"/>
      <c r="Y86" s="270"/>
      <c r="Z86" s="270"/>
      <c r="AA86" s="270"/>
      <c r="AB86" s="270"/>
      <c r="AC86" s="270"/>
      <c r="AD86" s="270"/>
    </row>
    <row r="87" spans="1:30" s="343" customFormat="1" ht="14.15" customHeight="1">
      <c r="A87" s="796" t="s">
        <v>774</v>
      </c>
      <c r="B87" s="351"/>
      <c r="C87" s="352" t="s">
        <v>34</v>
      </c>
      <c r="D87" s="315">
        <f t="shared" ref="D87:P87" si="87">+D13+D18+D31+D41+D49+D52+D61+D67+D78+D85</f>
        <v>36338</v>
      </c>
      <c r="E87" s="315">
        <f t="shared" si="87"/>
        <v>0</v>
      </c>
      <c r="F87" s="315">
        <f>+F13+F18+F31+F41+F49+F52+F61+F67+F78+F85</f>
        <v>56880</v>
      </c>
      <c r="G87" s="315">
        <f t="shared" si="87"/>
        <v>9740</v>
      </c>
      <c r="H87" s="315">
        <f t="shared" si="87"/>
        <v>17579</v>
      </c>
      <c r="I87" s="315">
        <f t="shared" si="87"/>
        <v>34</v>
      </c>
      <c r="J87" s="315">
        <f t="shared" si="87"/>
        <v>77673</v>
      </c>
      <c r="K87" s="315">
        <f t="shared" si="87"/>
        <v>380</v>
      </c>
      <c r="L87" s="315">
        <f t="shared" si="87"/>
        <v>47873</v>
      </c>
      <c r="M87" s="315">
        <f t="shared" si="87"/>
        <v>0</v>
      </c>
      <c r="N87" s="315">
        <f t="shared" si="87"/>
        <v>50034</v>
      </c>
      <c r="O87" s="315">
        <f t="shared" si="87"/>
        <v>296117</v>
      </c>
      <c r="P87" s="315">
        <f t="shared" si="87"/>
        <v>140062</v>
      </c>
      <c r="Q87" s="316">
        <f>+ROUND(P87/X87*100,1)</f>
        <v>60.4</v>
      </c>
      <c r="R87" s="315">
        <f>+R13+R18+R31+R41+R49+R52+R61+R67+R78+R85</f>
        <v>22378</v>
      </c>
      <c r="S87" s="316">
        <f>+ROUND(R87/X87*100,1)</f>
        <v>9.6999999999999993</v>
      </c>
      <c r="T87" s="315">
        <f>+T13+T18+T31+T41+T49+T52+T61+T67+T78+T85</f>
        <v>64920</v>
      </c>
      <c r="U87" s="316">
        <f>+ROUND(T87/X87*100,1)</f>
        <v>28</v>
      </c>
      <c r="V87" s="315">
        <f>+V13+V18+V31+V41+V49+V52+V61+V67+V78+V85</f>
        <v>4363</v>
      </c>
      <c r="W87" s="316">
        <f>+ROUND(V87/X87*100,1)</f>
        <v>1.9</v>
      </c>
      <c r="X87" s="315">
        <f t="shared" ref="X87:AD87" si="88">+X13+X18+X31+X41+X49+X52+X61+X67+X78+X85</f>
        <v>231723</v>
      </c>
      <c r="Y87" s="315">
        <f t="shared" si="88"/>
        <v>15008</v>
      </c>
      <c r="Z87" s="315">
        <f t="shared" si="88"/>
        <v>2069</v>
      </c>
      <c r="AA87" s="315">
        <f t="shared" si="88"/>
        <v>841042</v>
      </c>
      <c r="AB87" s="315">
        <f t="shared" si="88"/>
        <v>1</v>
      </c>
      <c r="AC87" s="315">
        <f t="shared" si="88"/>
        <v>502</v>
      </c>
      <c r="AD87" s="315">
        <f t="shared" si="88"/>
        <v>841544</v>
      </c>
    </row>
    <row r="88" spans="1:30" s="343" customFormat="1" ht="14.15" customHeight="1">
      <c r="Q88" s="353"/>
      <c r="S88" s="353"/>
      <c r="U88" s="353"/>
      <c r="W88" s="353"/>
    </row>
    <row r="89" spans="1:30" s="343" customFormat="1" ht="14.15" customHeight="1">
      <c r="Q89" s="354"/>
      <c r="S89" s="354"/>
      <c r="U89" s="354"/>
      <c r="W89" s="354"/>
    </row>
    <row r="90" spans="1:30" s="343" customFormat="1" ht="14.15" customHeight="1">
      <c r="Q90" s="354"/>
      <c r="S90" s="354"/>
      <c r="U90" s="354"/>
      <c r="W90" s="354"/>
    </row>
    <row r="91" spans="1:30" s="343" customFormat="1" ht="14.15" customHeight="1">
      <c r="Q91" s="354"/>
      <c r="S91" s="354"/>
      <c r="U91" s="354"/>
      <c r="W91" s="354"/>
    </row>
    <row r="92" spans="1:30" s="343" customFormat="1" ht="14.15" customHeight="1">
      <c r="Q92" s="354"/>
      <c r="S92" s="354"/>
      <c r="U92" s="354"/>
      <c r="W92" s="354"/>
    </row>
    <row r="93" spans="1:30" s="343" customFormat="1" ht="14.15" customHeight="1">
      <c r="Q93" s="354"/>
      <c r="S93" s="354"/>
      <c r="U93" s="354"/>
      <c r="W93" s="354"/>
    </row>
    <row r="94" spans="1:30" s="343" customFormat="1" ht="14.15" customHeight="1">
      <c r="Q94" s="354"/>
      <c r="S94" s="354"/>
      <c r="U94" s="354"/>
      <c r="W94" s="354"/>
    </row>
    <row r="95" spans="1:30" s="343" customFormat="1" ht="14.15" customHeight="1">
      <c r="Q95" s="354"/>
      <c r="S95" s="354"/>
      <c r="U95" s="354"/>
      <c r="W95" s="354"/>
    </row>
    <row r="96" spans="1:30" s="343" customFormat="1" ht="14.15" customHeight="1">
      <c r="Q96" s="354"/>
      <c r="S96" s="354"/>
      <c r="U96" s="354"/>
      <c r="W96" s="354"/>
    </row>
    <row r="97" spans="17:23" s="343" customFormat="1" ht="14.15" customHeight="1">
      <c r="Q97" s="354"/>
      <c r="S97" s="354"/>
      <c r="U97" s="354"/>
      <c r="W97" s="354"/>
    </row>
    <row r="98" spans="17:23" s="343" customFormat="1" ht="14.15" customHeight="1">
      <c r="Q98" s="354"/>
      <c r="S98" s="354"/>
      <c r="U98" s="354"/>
      <c r="W98" s="354"/>
    </row>
    <row r="99" spans="17:23" s="343" customFormat="1" ht="14.15" customHeight="1">
      <c r="Q99" s="354"/>
      <c r="S99" s="354"/>
      <c r="U99" s="354"/>
      <c r="W99" s="354"/>
    </row>
    <row r="100" spans="17:23" ht="14.15" customHeight="1"/>
    <row r="101" spans="17:23" ht="14.15" customHeight="1"/>
    <row r="102" spans="17:23" ht="14.15" customHeight="1"/>
    <row r="103" spans="17:23" ht="14.15" customHeight="1"/>
    <row r="104" spans="17:23" ht="14.15" customHeight="1"/>
    <row r="105" spans="17:23" ht="14.15" customHeight="1"/>
    <row r="106" spans="17:23" ht="14.15" customHeight="1"/>
    <row r="107" spans="17:23" ht="14.15" customHeight="1"/>
    <row r="108" spans="17:23" ht="14.15" customHeight="1"/>
    <row r="109" spans="17:23" ht="14.15" customHeight="1"/>
    <row r="110" spans="17:23" ht="14.15" customHeight="1"/>
    <row r="111" spans="17:23" ht="14.15" customHeight="1"/>
    <row r="112" spans="17:23" ht="14.15" customHeight="1"/>
    <row r="113" ht="14.15" customHeight="1"/>
    <row r="114" ht="14.15" customHeight="1"/>
    <row r="115" ht="14.15" customHeight="1"/>
    <row r="116" ht="14.15" customHeight="1"/>
    <row r="117" ht="14.15" customHeight="1"/>
    <row r="118" ht="14.15" customHeight="1"/>
    <row r="119" ht="14.15" customHeight="1"/>
    <row r="120" ht="14.15" customHeight="1"/>
    <row r="121" ht="14.15" customHeight="1"/>
    <row r="122" ht="14.15" customHeight="1"/>
    <row r="123" ht="14.15" customHeight="1"/>
    <row r="124" ht="14.15" customHeight="1"/>
    <row r="125" ht="14.15" customHeight="1"/>
    <row r="126" ht="14.15" customHeight="1"/>
    <row r="127" ht="14.15" customHeight="1"/>
    <row r="128" ht="14.15" customHeight="1"/>
    <row r="129" ht="14.15" customHeight="1"/>
    <row r="130" ht="14.15" customHeight="1"/>
    <row r="131" ht="14.15" customHeight="1"/>
    <row r="132" ht="14.15" customHeight="1"/>
    <row r="133" ht="14.15" customHeight="1"/>
    <row r="134" ht="14.15" customHeight="1"/>
    <row r="135" ht="14.15" customHeight="1"/>
    <row r="136" ht="14.15" customHeight="1"/>
    <row r="137" ht="14.15" customHeight="1"/>
    <row r="138" ht="14.15" customHeight="1"/>
    <row r="139" ht="14.15" customHeight="1"/>
    <row r="140" ht="14.15" customHeight="1"/>
    <row r="141" ht="14.15" customHeight="1"/>
    <row r="142" ht="14.15" customHeight="1"/>
    <row r="143" ht="14.15" customHeight="1"/>
    <row r="144" ht="14.15" customHeight="1"/>
    <row r="145" ht="14.15" customHeight="1"/>
    <row r="146" ht="14.15" customHeight="1"/>
    <row r="147" ht="14.15" customHeight="1"/>
    <row r="148" ht="14.15" customHeight="1"/>
    <row r="149" ht="14.15" customHeight="1"/>
    <row r="150" ht="14.15" customHeight="1"/>
    <row r="151" ht="14.15" customHeight="1"/>
    <row r="152" ht="14.15" customHeight="1"/>
    <row r="153" ht="14.15" customHeight="1"/>
    <row r="154" ht="14.15" customHeight="1"/>
    <row r="155" ht="14.15" customHeight="1"/>
    <row r="156" ht="14.15" customHeight="1"/>
    <row r="157" ht="14.15" customHeight="1"/>
    <row r="158" ht="14.15" customHeight="1"/>
    <row r="159" ht="14.15" customHeight="1"/>
    <row r="16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spans="16157:16157" ht="14.15" customHeight="1"/>
    <row r="194" spans="16157:16157" ht="14.15" customHeight="1"/>
    <row r="195" spans="16157:16157" ht="14.15" customHeight="1"/>
    <row r="196" spans="16157:16157" ht="14.15" customHeight="1"/>
    <row r="197" spans="16157:16157" ht="14.15" customHeight="1"/>
    <row r="198" spans="16157:16157" ht="14.15" customHeight="1"/>
    <row r="199" spans="16157:16157" ht="14.15" customHeight="1"/>
    <row r="200" spans="16157:16157" ht="14.15" customHeight="1"/>
    <row r="201" spans="16157:16157" ht="14.15" customHeight="1"/>
    <row r="202" spans="16157:16157" ht="14.15" customHeight="1"/>
    <row r="203" spans="16157:16157" ht="14.15" customHeight="1"/>
    <row r="204" spans="16157:16157" ht="14.15" customHeight="1"/>
    <row r="205" spans="16157:16157" ht="14.15" customHeight="1"/>
    <row r="206" spans="16157:16157" ht="14.15" customHeight="1"/>
    <row r="207" spans="16157:16157" ht="14.15" customHeight="1"/>
    <row r="208" spans="16157:16157" ht="14.15" customHeight="1">
      <c r="WWK208" s="150"/>
    </row>
  </sheetData>
  <mergeCells count="28">
    <mergeCell ref="A43:A50"/>
    <mergeCell ref="A51:A53"/>
    <mergeCell ref="A54:A62"/>
    <mergeCell ref="A63:A68"/>
    <mergeCell ref="A69:A79"/>
    <mergeCell ref="A80:A86"/>
    <mergeCell ref="Z4:AA4"/>
    <mergeCell ref="AB4:AC4"/>
    <mergeCell ref="A6:A14"/>
    <mergeCell ref="A15:A19"/>
    <mergeCell ref="A20:A32"/>
    <mergeCell ref="A33:A42"/>
    <mergeCell ref="O4:O5"/>
    <mergeCell ref="P4:Q4"/>
    <mergeCell ref="R4:S4"/>
    <mergeCell ref="T4:U4"/>
    <mergeCell ref="V4:W4"/>
    <mergeCell ref="Y4:Y5"/>
    <mergeCell ref="A3:A5"/>
    <mergeCell ref="B3:B5"/>
    <mergeCell ref="C3:C5"/>
    <mergeCell ref="D3:O3"/>
    <mergeCell ref="P3:Y3"/>
    <mergeCell ref="Z3:AD3"/>
    <mergeCell ref="D4:F4"/>
    <mergeCell ref="G4:L4"/>
    <mergeCell ref="M4:M5"/>
    <mergeCell ref="N4:N5"/>
  </mergeCells>
  <phoneticPr fontId="6"/>
  <pageMargins left="0.84" right="0.19685039370078741" top="0.59055118110236227" bottom="0.78740157480314965" header="0.51181102362204722" footer="0.51181102362204722"/>
  <pageSetup paperSize="9" scale="98" pageOrder="overThenDown" orientation="portrait" r:id="rId1"/>
  <headerFooter alignWithMargins="0"/>
  <rowBreaks count="1" manualBreakCount="1">
    <brk id="53" max="16383" man="1"/>
  </rowBreaks>
  <colBreaks count="1" manualBreakCount="1">
    <brk id="15" max="90"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2F02A9-15D4-4AD1-B11E-A8927AC0B10F}">
  <dimension ref="A1:M170"/>
  <sheetViews>
    <sheetView view="pageBreakPreview" zoomScaleNormal="100" zoomScaleSheetLayoutView="100" workbookViewId="0">
      <pane xSplit="3" ySplit="6" topLeftCell="D7" activePane="bottomRight" state="frozen"/>
      <selection pane="topRight" activeCell="D1" sqref="D1"/>
      <selection pane="bottomLeft" activeCell="A7" sqref="A7"/>
      <selection pane="bottomRight"/>
    </sheetView>
  </sheetViews>
  <sheetFormatPr defaultRowHeight="11"/>
  <cols>
    <col min="1" max="1" width="5.6328125" style="150" customWidth="1"/>
    <col min="2" max="2" width="3" style="150" customWidth="1"/>
    <col min="3" max="3" width="15.36328125" style="150" customWidth="1"/>
    <col min="4" max="13" width="6.08984375" style="150" customWidth="1"/>
    <col min="14" max="256" width="8.7265625" style="150"/>
    <col min="257" max="257" width="5.6328125" style="150" customWidth="1"/>
    <col min="258" max="258" width="3" style="150" customWidth="1"/>
    <col min="259" max="259" width="15.36328125" style="150" customWidth="1"/>
    <col min="260" max="269" width="6.08984375" style="150" customWidth="1"/>
    <col min="270" max="512" width="8.7265625" style="150"/>
    <col min="513" max="513" width="5.6328125" style="150" customWidth="1"/>
    <col min="514" max="514" width="3" style="150" customWidth="1"/>
    <col min="515" max="515" width="15.36328125" style="150" customWidth="1"/>
    <col min="516" max="525" width="6.08984375" style="150" customWidth="1"/>
    <col min="526" max="768" width="8.7265625" style="150"/>
    <col min="769" max="769" width="5.6328125" style="150" customWidth="1"/>
    <col min="770" max="770" width="3" style="150" customWidth="1"/>
    <col min="771" max="771" width="15.36328125" style="150" customWidth="1"/>
    <col min="772" max="781" width="6.08984375" style="150" customWidth="1"/>
    <col min="782" max="1024" width="8.7265625" style="150"/>
    <col min="1025" max="1025" width="5.6328125" style="150" customWidth="1"/>
    <col min="1026" max="1026" width="3" style="150" customWidth="1"/>
    <col min="1027" max="1027" width="15.36328125" style="150" customWidth="1"/>
    <col min="1028" max="1037" width="6.08984375" style="150" customWidth="1"/>
    <col min="1038" max="1280" width="8.7265625" style="150"/>
    <col min="1281" max="1281" width="5.6328125" style="150" customWidth="1"/>
    <col min="1282" max="1282" width="3" style="150" customWidth="1"/>
    <col min="1283" max="1283" width="15.36328125" style="150" customWidth="1"/>
    <col min="1284" max="1293" width="6.08984375" style="150" customWidth="1"/>
    <col min="1294" max="1536" width="8.7265625" style="150"/>
    <col min="1537" max="1537" width="5.6328125" style="150" customWidth="1"/>
    <col min="1538" max="1538" width="3" style="150" customWidth="1"/>
    <col min="1539" max="1539" width="15.36328125" style="150" customWidth="1"/>
    <col min="1540" max="1549" width="6.08984375" style="150" customWidth="1"/>
    <col min="1550" max="1792" width="8.7265625" style="150"/>
    <col min="1793" max="1793" width="5.6328125" style="150" customWidth="1"/>
    <col min="1794" max="1794" width="3" style="150" customWidth="1"/>
    <col min="1795" max="1795" width="15.36328125" style="150" customWidth="1"/>
    <col min="1796" max="1805" width="6.08984375" style="150" customWidth="1"/>
    <col min="1806" max="2048" width="8.7265625" style="150"/>
    <col min="2049" max="2049" width="5.6328125" style="150" customWidth="1"/>
    <col min="2050" max="2050" width="3" style="150" customWidth="1"/>
    <col min="2051" max="2051" width="15.36328125" style="150" customWidth="1"/>
    <col min="2052" max="2061" width="6.08984375" style="150" customWidth="1"/>
    <col min="2062" max="2304" width="8.7265625" style="150"/>
    <col min="2305" max="2305" width="5.6328125" style="150" customWidth="1"/>
    <col min="2306" max="2306" width="3" style="150" customWidth="1"/>
    <col min="2307" max="2307" width="15.36328125" style="150" customWidth="1"/>
    <col min="2308" max="2317" width="6.08984375" style="150" customWidth="1"/>
    <col min="2318" max="2560" width="8.7265625" style="150"/>
    <col min="2561" max="2561" width="5.6328125" style="150" customWidth="1"/>
    <col min="2562" max="2562" width="3" style="150" customWidth="1"/>
    <col min="2563" max="2563" width="15.36328125" style="150" customWidth="1"/>
    <col min="2564" max="2573" width="6.08984375" style="150" customWidth="1"/>
    <col min="2574" max="2816" width="8.7265625" style="150"/>
    <col min="2817" max="2817" width="5.6328125" style="150" customWidth="1"/>
    <col min="2818" max="2818" width="3" style="150" customWidth="1"/>
    <col min="2819" max="2819" width="15.36328125" style="150" customWidth="1"/>
    <col min="2820" max="2829" width="6.08984375" style="150" customWidth="1"/>
    <col min="2830" max="3072" width="8.7265625" style="150"/>
    <col min="3073" max="3073" width="5.6328125" style="150" customWidth="1"/>
    <col min="3074" max="3074" width="3" style="150" customWidth="1"/>
    <col min="3075" max="3075" width="15.36328125" style="150" customWidth="1"/>
    <col min="3076" max="3085" width="6.08984375" style="150" customWidth="1"/>
    <col min="3086" max="3328" width="8.7265625" style="150"/>
    <col min="3329" max="3329" width="5.6328125" style="150" customWidth="1"/>
    <col min="3330" max="3330" width="3" style="150" customWidth="1"/>
    <col min="3331" max="3331" width="15.36328125" style="150" customWidth="1"/>
    <col min="3332" max="3341" width="6.08984375" style="150" customWidth="1"/>
    <col min="3342" max="3584" width="8.7265625" style="150"/>
    <col min="3585" max="3585" width="5.6328125" style="150" customWidth="1"/>
    <col min="3586" max="3586" width="3" style="150" customWidth="1"/>
    <col min="3587" max="3587" width="15.36328125" style="150" customWidth="1"/>
    <col min="3588" max="3597" width="6.08984375" style="150" customWidth="1"/>
    <col min="3598" max="3840" width="8.7265625" style="150"/>
    <col min="3841" max="3841" width="5.6328125" style="150" customWidth="1"/>
    <col min="3842" max="3842" width="3" style="150" customWidth="1"/>
    <col min="3843" max="3843" width="15.36328125" style="150" customWidth="1"/>
    <col min="3844" max="3853" width="6.08984375" style="150" customWidth="1"/>
    <col min="3854" max="4096" width="8.7265625" style="150"/>
    <col min="4097" max="4097" width="5.6328125" style="150" customWidth="1"/>
    <col min="4098" max="4098" width="3" style="150" customWidth="1"/>
    <col min="4099" max="4099" width="15.36328125" style="150" customWidth="1"/>
    <col min="4100" max="4109" width="6.08984375" style="150" customWidth="1"/>
    <col min="4110" max="4352" width="8.7265625" style="150"/>
    <col min="4353" max="4353" width="5.6328125" style="150" customWidth="1"/>
    <col min="4354" max="4354" width="3" style="150" customWidth="1"/>
    <col min="4355" max="4355" width="15.36328125" style="150" customWidth="1"/>
    <col min="4356" max="4365" width="6.08984375" style="150" customWidth="1"/>
    <col min="4366" max="4608" width="8.7265625" style="150"/>
    <col min="4609" max="4609" width="5.6328125" style="150" customWidth="1"/>
    <col min="4610" max="4610" width="3" style="150" customWidth="1"/>
    <col min="4611" max="4611" width="15.36328125" style="150" customWidth="1"/>
    <col min="4612" max="4621" width="6.08984375" style="150" customWidth="1"/>
    <col min="4622" max="4864" width="8.7265625" style="150"/>
    <col min="4865" max="4865" width="5.6328125" style="150" customWidth="1"/>
    <col min="4866" max="4866" width="3" style="150" customWidth="1"/>
    <col min="4867" max="4867" width="15.36328125" style="150" customWidth="1"/>
    <col min="4868" max="4877" width="6.08984375" style="150" customWidth="1"/>
    <col min="4878" max="5120" width="8.7265625" style="150"/>
    <col min="5121" max="5121" width="5.6328125" style="150" customWidth="1"/>
    <col min="5122" max="5122" width="3" style="150" customWidth="1"/>
    <col min="5123" max="5123" width="15.36328125" style="150" customWidth="1"/>
    <col min="5124" max="5133" width="6.08984375" style="150" customWidth="1"/>
    <col min="5134" max="5376" width="8.7265625" style="150"/>
    <col min="5377" max="5377" width="5.6328125" style="150" customWidth="1"/>
    <col min="5378" max="5378" width="3" style="150" customWidth="1"/>
    <col min="5379" max="5379" width="15.36328125" style="150" customWidth="1"/>
    <col min="5380" max="5389" width="6.08984375" style="150" customWidth="1"/>
    <col min="5390" max="5632" width="8.7265625" style="150"/>
    <col min="5633" max="5633" width="5.6328125" style="150" customWidth="1"/>
    <col min="5634" max="5634" width="3" style="150" customWidth="1"/>
    <col min="5635" max="5635" width="15.36328125" style="150" customWidth="1"/>
    <col min="5636" max="5645" width="6.08984375" style="150" customWidth="1"/>
    <col min="5646" max="5888" width="8.7265625" style="150"/>
    <col min="5889" max="5889" width="5.6328125" style="150" customWidth="1"/>
    <col min="5890" max="5890" width="3" style="150" customWidth="1"/>
    <col min="5891" max="5891" width="15.36328125" style="150" customWidth="1"/>
    <col min="5892" max="5901" width="6.08984375" style="150" customWidth="1"/>
    <col min="5902" max="6144" width="8.7265625" style="150"/>
    <col min="6145" max="6145" width="5.6328125" style="150" customWidth="1"/>
    <col min="6146" max="6146" width="3" style="150" customWidth="1"/>
    <col min="6147" max="6147" width="15.36328125" style="150" customWidth="1"/>
    <col min="6148" max="6157" width="6.08984375" style="150" customWidth="1"/>
    <col min="6158" max="6400" width="8.7265625" style="150"/>
    <col min="6401" max="6401" width="5.6328125" style="150" customWidth="1"/>
    <col min="6402" max="6402" width="3" style="150" customWidth="1"/>
    <col min="6403" max="6403" width="15.36328125" style="150" customWidth="1"/>
    <col min="6404" max="6413" width="6.08984375" style="150" customWidth="1"/>
    <col min="6414" max="6656" width="8.7265625" style="150"/>
    <col min="6657" max="6657" width="5.6328125" style="150" customWidth="1"/>
    <col min="6658" max="6658" width="3" style="150" customWidth="1"/>
    <col min="6659" max="6659" width="15.36328125" style="150" customWidth="1"/>
    <col min="6660" max="6669" width="6.08984375" style="150" customWidth="1"/>
    <col min="6670" max="6912" width="8.7265625" style="150"/>
    <col min="6913" max="6913" width="5.6328125" style="150" customWidth="1"/>
    <col min="6914" max="6914" width="3" style="150" customWidth="1"/>
    <col min="6915" max="6915" width="15.36328125" style="150" customWidth="1"/>
    <col min="6916" max="6925" width="6.08984375" style="150" customWidth="1"/>
    <col min="6926" max="7168" width="8.7265625" style="150"/>
    <col min="7169" max="7169" width="5.6328125" style="150" customWidth="1"/>
    <col min="7170" max="7170" width="3" style="150" customWidth="1"/>
    <col min="7171" max="7171" width="15.36328125" style="150" customWidth="1"/>
    <col min="7172" max="7181" width="6.08984375" style="150" customWidth="1"/>
    <col min="7182" max="7424" width="8.7265625" style="150"/>
    <col min="7425" max="7425" width="5.6328125" style="150" customWidth="1"/>
    <col min="7426" max="7426" width="3" style="150" customWidth="1"/>
    <col min="7427" max="7427" width="15.36328125" style="150" customWidth="1"/>
    <col min="7428" max="7437" width="6.08984375" style="150" customWidth="1"/>
    <col min="7438" max="7680" width="8.7265625" style="150"/>
    <col min="7681" max="7681" width="5.6328125" style="150" customWidth="1"/>
    <col min="7682" max="7682" width="3" style="150" customWidth="1"/>
    <col min="7683" max="7683" width="15.36328125" style="150" customWidth="1"/>
    <col min="7684" max="7693" width="6.08984375" style="150" customWidth="1"/>
    <col min="7694" max="7936" width="8.7265625" style="150"/>
    <col min="7937" max="7937" width="5.6328125" style="150" customWidth="1"/>
    <col min="7938" max="7938" width="3" style="150" customWidth="1"/>
    <col min="7939" max="7939" width="15.36328125" style="150" customWidth="1"/>
    <col min="7940" max="7949" width="6.08984375" style="150" customWidth="1"/>
    <col min="7950" max="8192" width="8.7265625" style="150"/>
    <col min="8193" max="8193" width="5.6328125" style="150" customWidth="1"/>
    <col min="8194" max="8194" width="3" style="150" customWidth="1"/>
    <col min="8195" max="8195" width="15.36328125" style="150" customWidth="1"/>
    <col min="8196" max="8205" width="6.08984375" style="150" customWidth="1"/>
    <col min="8206" max="8448" width="8.7265625" style="150"/>
    <col min="8449" max="8449" width="5.6328125" style="150" customWidth="1"/>
    <col min="8450" max="8450" width="3" style="150" customWidth="1"/>
    <col min="8451" max="8451" width="15.36328125" style="150" customWidth="1"/>
    <col min="8452" max="8461" width="6.08984375" style="150" customWidth="1"/>
    <col min="8462" max="8704" width="8.7265625" style="150"/>
    <col min="8705" max="8705" width="5.6328125" style="150" customWidth="1"/>
    <col min="8706" max="8706" width="3" style="150" customWidth="1"/>
    <col min="8707" max="8707" width="15.36328125" style="150" customWidth="1"/>
    <col min="8708" max="8717" width="6.08984375" style="150" customWidth="1"/>
    <col min="8718" max="8960" width="8.7265625" style="150"/>
    <col min="8961" max="8961" width="5.6328125" style="150" customWidth="1"/>
    <col min="8962" max="8962" width="3" style="150" customWidth="1"/>
    <col min="8963" max="8963" width="15.36328125" style="150" customWidth="1"/>
    <col min="8964" max="8973" width="6.08984375" style="150" customWidth="1"/>
    <col min="8974" max="9216" width="8.7265625" style="150"/>
    <col min="9217" max="9217" width="5.6328125" style="150" customWidth="1"/>
    <col min="9218" max="9218" width="3" style="150" customWidth="1"/>
    <col min="9219" max="9219" width="15.36328125" style="150" customWidth="1"/>
    <col min="9220" max="9229" width="6.08984375" style="150" customWidth="1"/>
    <col min="9230" max="9472" width="8.7265625" style="150"/>
    <col min="9473" max="9473" width="5.6328125" style="150" customWidth="1"/>
    <col min="9474" max="9474" width="3" style="150" customWidth="1"/>
    <col min="9475" max="9475" width="15.36328125" style="150" customWidth="1"/>
    <col min="9476" max="9485" width="6.08984375" style="150" customWidth="1"/>
    <col min="9486" max="9728" width="8.7265625" style="150"/>
    <col min="9729" max="9729" width="5.6328125" style="150" customWidth="1"/>
    <col min="9730" max="9730" width="3" style="150" customWidth="1"/>
    <col min="9731" max="9731" width="15.36328125" style="150" customWidth="1"/>
    <col min="9732" max="9741" width="6.08984375" style="150" customWidth="1"/>
    <col min="9742" max="9984" width="8.7265625" style="150"/>
    <col min="9985" max="9985" width="5.6328125" style="150" customWidth="1"/>
    <col min="9986" max="9986" width="3" style="150" customWidth="1"/>
    <col min="9987" max="9987" width="15.36328125" style="150" customWidth="1"/>
    <col min="9988" max="9997" width="6.08984375" style="150" customWidth="1"/>
    <col min="9998" max="10240" width="8.7265625" style="150"/>
    <col min="10241" max="10241" width="5.6328125" style="150" customWidth="1"/>
    <col min="10242" max="10242" width="3" style="150" customWidth="1"/>
    <col min="10243" max="10243" width="15.36328125" style="150" customWidth="1"/>
    <col min="10244" max="10253" width="6.08984375" style="150" customWidth="1"/>
    <col min="10254" max="10496" width="8.7265625" style="150"/>
    <col min="10497" max="10497" width="5.6328125" style="150" customWidth="1"/>
    <col min="10498" max="10498" width="3" style="150" customWidth="1"/>
    <col min="10499" max="10499" width="15.36328125" style="150" customWidth="1"/>
    <col min="10500" max="10509" width="6.08984375" style="150" customWidth="1"/>
    <col min="10510" max="10752" width="8.7265625" style="150"/>
    <col min="10753" max="10753" width="5.6328125" style="150" customWidth="1"/>
    <col min="10754" max="10754" width="3" style="150" customWidth="1"/>
    <col min="10755" max="10755" width="15.36328125" style="150" customWidth="1"/>
    <col min="10756" max="10765" width="6.08984375" style="150" customWidth="1"/>
    <col min="10766" max="11008" width="8.7265625" style="150"/>
    <col min="11009" max="11009" width="5.6328125" style="150" customWidth="1"/>
    <col min="11010" max="11010" width="3" style="150" customWidth="1"/>
    <col min="11011" max="11011" width="15.36328125" style="150" customWidth="1"/>
    <col min="11012" max="11021" width="6.08984375" style="150" customWidth="1"/>
    <col min="11022" max="11264" width="8.7265625" style="150"/>
    <col min="11265" max="11265" width="5.6328125" style="150" customWidth="1"/>
    <col min="11266" max="11266" width="3" style="150" customWidth="1"/>
    <col min="11267" max="11267" width="15.36328125" style="150" customWidth="1"/>
    <col min="11268" max="11277" width="6.08984375" style="150" customWidth="1"/>
    <col min="11278" max="11520" width="8.7265625" style="150"/>
    <col min="11521" max="11521" width="5.6328125" style="150" customWidth="1"/>
    <col min="11522" max="11522" width="3" style="150" customWidth="1"/>
    <col min="11523" max="11523" width="15.36328125" style="150" customWidth="1"/>
    <col min="11524" max="11533" width="6.08984375" style="150" customWidth="1"/>
    <col min="11534" max="11776" width="8.7265625" style="150"/>
    <col min="11777" max="11777" width="5.6328125" style="150" customWidth="1"/>
    <col min="11778" max="11778" width="3" style="150" customWidth="1"/>
    <col min="11779" max="11779" width="15.36328125" style="150" customWidth="1"/>
    <col min="11780" max="11789" width="6.08984375" style="150" customWidth="1"/>
    <col min="11790" max="12032" width="8.7265625" style="150"/>
    <col min="12033" max="12033" width="5.6328125" style="150" customWidth="1"/>
    <col min="12034" max="12034" width="3" style="150" customWidth="1"/>
    <col min="12035" max="12035" width="15.36328125" style="150" customWidth="1"/>
    <col min="12036" max="12045" width="6.08984375" style="150" customWidth="1"/>
    <col min="12046" max="12288" width="8.7265625" style="150"/>
    <col min="12289" max="12289" width="5.6328125" style="150" customWidth="1"/>
    <col min="12290" max="12290" width="3" style="150" customWidth="1"/>
    <col min="12291" max="12291" width="15.36328125" style="150" customWidth="1"/>
    <col min="12292" max="12301" width="6.08984375" style="150" customWidth="1"/>
    <col min="12302" max="12544" width="8.7265625" style="150"/>
    <col min="12545" max="12545" width="5.6328125" style="150" customWidth="1"/>
    <col min="12546" max="12546" width="3" style="150" customWidth="1"/>
    <col min="12547" max="12547" width="15.36328125" style="150" customWidth="1"/>
    <col min="12548" max="12557" width="6.08984375" style="150" customWidth="1"/>
    <col min="12558" max="12800" width="8.7265625" style="150"/>
    <col min="12801" max="12801" width="5.6328125" style="150" customWidth="1"/>
    <col min="12802" max="12802" width="3" style="150" customWidth="1"/>
    <col min="12803" max="12803" width="15.36328125" style="150" customWidth="1"/>
    <col min="12804" max="12813" width="6.08984375" style="150" customWidth="1"/>
    <col min="12814" max="13056" width="8.7265625" style="150"/>
    <col min="13057" max="13057" width="5.6328125" style="150" customWidth="1"/>
    <col min="13058" max="13058" width="3" style="150" customWidth="1"/>
    <col min="13059" max="13059" width="15.36328125" style="150" customWidth="1"/>
    <col min="13060" max="13069" width="6.08984375" style="150" customWidth="1"/>
    <col min="13070" max="13312" width="8.7265625" style="150"/>
    <col min="13313" max="13313" width="5.6328125" style="150" customWidth="1"/>
    <col min="13314" max="13314" width="3" style="150" customWidth="1"/>
    <col min="13315" max="13315" width="15.36328125" style="150" customWidth="1"/>
    <col min="13316" max="13325" width="6.08984375" style="150" customWidth="1"/>
    <col min="13326" max="13568" width="8.7265625" style="150"/>
    <col min="13569" max="13569" width="5.6328125" style="150" customWidth="1"/>
    <col min="13570" max="13570" width="3" style="150" customWidth="1"/>
    <col min="13571" max="13571" width="15.36328125" style="150" customWidth="1"/>
    <col min="13572" max="13581" width="6.08984375" style="150" customWidth="1"/>
    <col min="13582" max="13824" width="8.7265625" style="150"/>
    <col min="13825" max="13825" width="5.6328125" style="150" customWidth="1"/>
    <col min="13826" max="13826" width="3" style="150" customWidth="1"/>
    <col min="13827" max="13827" width="15.36328125" style="150" customWidth="1"/>
    <col min="13828" max="13837" width="6.08984375" style="150" customWidth="1"/>
    <col min="13838" max="14080" width="8.7265625" style="150"/>
    <col min="14081" max="14081" width="5.6328125" style="150" customWidth="1"/>
    <col min="14082" max="14082" width="3" style="150" customWidth="1"/>
    <col min="14083" max="14083" width="15.36328125" style="150" customWidth="1"/>
    <col min="14084" max="14093" width="6.08984375" style="150" customWidth="1"/>
    <col min="14094" max="14336" width="8.7265625" style="150"/>
    <col min="14337" max="14337" width="5.6328125" style="150" customWidth="1"/>
    <col min="14338" max="14338" width="3" style="150" customWidth="1"/>
    <col min="14339" max="14339" width="15.36328125" style="150" customWidth="1"/>
    <col min="14340" max="14349" width="6.08984375" style="150" customWidth="1"/>
    <col min="14350" max="14592" width="8.7265625" style="150"/>
    <col min="14593" max="14593" width="5.6328125" style="150" customWidth="1"/>
    <col min="14594" max="14594" width="3" style="150" customWidth="1"/>
    <col min="14595" max="14595" width="15.36328125" style="150" customWidth="1"/>
    <col min="14596" max="14605" width="6.08984375" style="150" customWidth="1"/>
    <col min="14606" max="14848" width="8.7265625" style="150"/>
    <col min="14849" max="14849" width="5.6328125" style="150" customWidth="1"/>
    <col min="14850" max="14850" width="3" style="150" customWidth="1"/>
    <col min="14851" max="14851" width="15.36328125" style="150" customWidth="1"/>
    <col min="14852" max="14861" width="6.08984375" style="150" customWidth="1"/>
    <col min="14862" max="15104" width="8.7265625" style="150"/>
    <col min="15105" max="15105" width="5.6328125" style="150" customWidth="1"/>
    <col min="15106" max="15106" width="3" style="150" customWidth="1"/>
    <col min="15107" max="15107" width="15.36328125" style="150" customWidth="1"/>
    <col min="15108" max="15117" width="6.08984375" style="150" customWidth="1"/>
    <col min="15118" max="15360" width="8.7265625" style="150"/>
    <col min="15361" max="15361" width="5.6328125" style="150" customWidth="1"/>
    <col min="15362" max="15362" width="3" style="150" customWidth="1"/>
    <col min="15363" max="15363" width="15.36328125" style="150" customWidth="1"/>
    <col min="15364" max="15373" width="6.08984375" style="150" customWidth="1"/>
    <col min="15374" max="15616" width="8.7265625" style="150"/>
    <col min="15617" max="15617" width="5.6328125" style="150" customWidth="1"/>
    <col min="15618" max="15618" width="3" style="150" customWidth="1"/>
    <col min="15619" max="15619" width="15.36328125" style="150" customWidth="1"/>
    <col min="15620" max="15629" width="6.08984375" style="150" customWidth="1"/>
    <col min="15630" max="15872" width="8.7265625" style="150"/>
    <col min="15873" max="15873" width="5.6328125" style="150" customWidth="1"/>
    <col min="15874" max="15874" width="3" style="150" customWidth="1"/>
    <col min="15875" max="15875" width="15.36328125" style="150" customWidth="1"/>
    <col min="15876" max="15885" width="6.08984375" style="150" customWidth="1"/>
    <col min="15886" max="16128" width="8.7265625" style="150"/>
    <col min="16129" max="16129" width="5.6328125" style="150" customWidth="1"/>
    <col min="16130" max="16130" width="3" style="150" customWidth="1"/>
    <col min="16131" max="16131" width="15.36328125" style="150" customWidth="1"/>
    <col min="16132" max="16141" width="6.08984375" style="150" customWidth="1"/>
    <col min="16142" max="16384" width="8.7265625" style="150"/>
  </cols>
  <sheetData>
    <row r="1" spans="1:13" s="216" customFormat="1" ht="16.5">
      <c r="A1" s="216" t="s">
        <v>807</v>
      </c>
    </row>
    <row r="2" spans="1:13" ht="14.15" customHeight="1">
      <c r="D2" s="210"/>
      <c r="E2" s="210"/>
      <c r="F2" s="210"/>
      <c r="G2" s="210"/>
      <c r="H2" s="210"/>
      <c r="I2" s="210"/>
      <c r="J2" s="210"/>
      <c r="K2" s="210"/>
      <c r="L2" s="210"/>
      <c r="M2" s="210"/>
    </row>
    <row r="3" spans="1:13" s="178" customFormat="1" ht="16.5" customHeight="1">
      <c r="A3" s="849" t="s">
        <v>581</v>
      </c>
      <c r="B3" s="849" t="s">
        <v>496</v>
      </c>
      <c r="C3" s="849" t="s">
        <v>497</v>
      </c>
      <c r="D3" s="849" t="s">
        <v>808</v>
      </c>
      <c r="E3" s="849"/>
      <c r="F3" s="849"/>
      <c r="G3" s="849"/>
      <c r="H3" s="849"/>
      <c r="I3" s="849"/>
      <c r="J3" s="849"/>
      <c r="K3" s="849"/>
      <c r="L3" s="849"/>
      <c r="M3" s="849"/>
    </row>
    <row r="4" spans="1:13" s="178" customFormat="1" ht="16.5" customHeight="1">
      <c r="A4" s="849"/>
      <c r="B4" s="849"/>
      <c r="C4" s="849"/>
      <c r="D4" s="849" t="s">
        <v>809</v>
      </c>
      <c r="E4" s="849"/>
      <c r="F4" s="849"/>
      <c r="G4" s="849"/>
      <c r="H4" s="849"/>
      <c r="I4" s="849"/>
      <c r="J4" s="849"/>
      <c r="K4" s="849"/>
      <c r="L4" s="849" t="s">
        <v>810</v>
      </c>
      <c r="M4" s="849" t="s">
        <v>527</v>
      </c>
    </row>
    <row r="5" spans="1:13" s="178" customFormat="1" ht="16.5" customHeight="1">
      <c r="A5" s="849"/>
      <c r="B5" s="849"/>
      <c r="C5" s="849"/>
      <c r="D5" s="849" t="s">
        <v>811</v>
      </c>
      <c r="E5" s="849"/>
      <c r="F5" s="849" t="s">
        <v>812</v>
      </c>
      <c r="G5" s="849" t="s">
        <v>813</v>
      </c>
      <c r="H5" s="849" t="s">
        <v>814</v>
      </c>
      <c r="I5" s="849" t="s">
        <v>815</v>
      </c>
      <c r="J5" s="849" t="s">
        <v>816</v>
      </c>
      <c r="K5" s="849" t="s">
        <v>527</v>
      </c>
      <c r="L5" s="849"/>
      <c r="M5" s="849"/>
    </row>
    <row r="6" spans="1:13" s="178" customFormat="1" ht="25.5" customHeight="1">
      <c r="A6" s="849"/>
      <c r="B6" s="849"/>
      <c r="C6" s="849"/>
      <c r="D6" s="786" t="s">
        <v>817</v>
      </c>
      <c r="E6" s="786" t="s">
        <v>818</v>
      </c>
      <c r="F6" s="849"/>
      <c r="G6" s="849"/>
      <c r="H6" s="849"/>
      <c r="I6" s="849"/>
      <c r="J6" s="849"/>
      <c r="K6" s="849"/>
      <c r="L6" s="849"/>
      <c r="M6" s="849"/>
    </row>
    <row r="7" spans="1:13" s="355" customFormat="1" ht="14.15" customHeight="1">
      <c r="A7" s="912" t="s">
        <v>507</v>
      </c>
      <c r="B7" s="339">
        <v>13</v>
      </c>
      <c r="C7" s="339" t="s">
        <v>691</v>
      </c>
      <c r="D7" s="339">
        <v>2046</v>
      </c>
      <c r="E7" s="339">
        <v>0</v>
      </c>
      <c r="F7" s="339">
        <v>1108</v>
      </c>
      <c r="G7" s="339">
        <v>0</v>
      </c>
      <c r="H7" s="339">
        <v>140</v>
      </c>
      <c r="I7" s="339">
        <v>0</v>
      </c>
      <c r="J7" s="339">
        <v>16</v>
      </c>
      <c r="K7" s="231">
        <f>D7+E7+F7+G7+H7+I7+J7</f>
        <v>3310</v>
      </c>
      <c r="L7" s="231">
        <v>0</v>
      </c>
      <c r="M7" s="231">
        <f>K7+L7</f>
        <v>3310</v>
      </c>
    </row>
    <row r="8" spans="1:13" s="355" customFormat="1" ht="14.15" customHeight="1">
      <c r="A8" s="912"/>
      <c r="B8" s="340">
        <v>50</v>
      </c>
      <c r="C8" s="340" t="s">
        <v>696</v>
      </c>
      <c r="D8" s="340">
        <v>551</v>
      </c>
      <c r="E8" s="340">
        <v>0</v>
      </c>
      <c r="F8" s="340">
        <v>155</v>
      </c>
      <c r="G8" s="340">
        <v>0</v>
      </c>
      <c r="H8" s="340">
        <v>0</v>
      </c>
      <c r="I8" s="340">
        <v>0</v>
      </c>
      <c r="J8" s="340">
        <v>1</v>
      </c>
      <c r="K8" s="239">
        <f>D8+E8+F8+G8+H8+I8+J8</f>
        <v>707</v>
      </c>
      <c r="L8" s="239">
        <v>0</v>
      </c>
      <c r="M8" s="239">
        <f>K8+L8</f>
        <v>707</v>
      </c>
    </row>
    <row r="9" spans="1:13" s="355" customFormat="1" ht="14.15" customHeight="1" thickBot="1">
      <c r="A9" s="912"/>
      <c r="B9" s="342">
        <v>86</v>
      </c>
      <c r="C9" s="342" t="s">
        <v>701</v>
      </c>
      <c r="D9" s="342">
        <v>691</v>
      </c>
      <c r="E9" s="342">
        <v>0</v>
      </c>
      <c r="F9" s="342">
        <v>13</v>
      </c>
      <c r="G9" s="342">
        <v>0</v>
      </c>
      <c r="H9" s="342">
        <v>0</v>
      </c>
      <c r="I9" s="342">
        <v>0</v>
      </c>
      <c r="J9" s="342">
        <v>0</v>
      </c>
      <c r="K9" s="247">
        <f>D9+E9+F9+G9+H9+I9+J9</f>
        <v>704</v>
      </c>
      <c r="L9" s="247">
        <v>0</v>
      </c>
      <c r="M9" s="247">
        <f>K9+L9</f>
        <v>704</v>
      </c>
    </row>
    <row r="10" spans="1:13" ht="14.15" customHeight="1" thickTop="1">
      <c r="A10" s="912"/>
      <c r="B10" s="252"/>
      <c r="C10" s="253" t="s">
        <v>34</v>
      </c>
      <c r="D10" s="259">
        <f t="shared" ref="D10:M10" si="0">+SUM(D7:D9)</f>
        <v>3288</v>
      </c>
      <c r="E10" s="356">
        <f t="shared" si="0"/>
        <v>0</v>
      </c>
      <c r="F10" s="356">
        <f t="shared" si="0"/>
        <v>1276</v>
      </c>
      <c r="G10" s="356">
        <f t="shared" si="0"/>
        <v>0</v>
      </c>
      <c r="H10" s="356">
        <f t="shared" si="0"/>
        <v>140</v>
      </c>
      <c r="I10" s="356">
        <f t="shared" si="0"/>
        <v>0</v>
      </c>
      <c r="J10" s="356">
        <f t="shared" si="0"/>
        <v>17</v>
      </c>
      <c r="K10" s="356">
        <f t="shared" si="0"/>
        <v>4721</v>
      </c>
      <c r="L10" s="356">
        <f t="shared" si="0"/>
        <v>0</v>
      </c>
      <c r="M10" s="356">
        <f t="shared" si="0"/>
        <v>4721</v>
      </c>
    </row>
    <row r="11" spans="1:13" ht="14.15" customHeight="1">
      <c r="A11" s="912"/>
      <c r="B11" s="263"/>
      <c r="C11" s="357"/>
      <c r="D11" s="358"/>
      <c r="E11" s="359"/>
      <c r="F11" s="359"/>
      <c r="G11" s="359"/>
      <c r="H11" s="359"/>
      <c r="I11" s="359"/>
      <c r="J11" s="359"/>
      <c r="K11" s="359"/>
      <c r="L11" s="359"/>
      <c r="M11" s="359"/>
    </row>
    <row r="12" spans="1:13" ht="14.15" customHeight="1">
      <c r="A12" s="903" t="s">
        <v>704</v>
      </c>
      <c r="B12" s="339">
        <v>53</v>
      </c>
      <c r="C12" s="344" t="s">
        <v>707</v>
      </c>
      <c r="D12" s="339">
        <v>2270</v>
      </c>
      <c r="E12" s="339">
        <v>0</v>
      </c>
      <c r="F12" s="339">
        <v>386</v>
      </c>
      <c r="G12" s="339">
        <v>217</v>
      </c>
      <c r="H12" s="344">
        <v>117</v>
      </c>
      <c r="I12" s="339">
        <v>0</v>
      </c>
      <c r="J12" s="339">
        <v>0</v>
      </c>
      <c r="K12" s="231">
        <f>D12+E12+F12+G12+H12+I12+J12</f>
        <v>2990</v>
      </c>
      <c r="L12" s="231">
        <v>0</v>
      </c>
      <c r="M12" s="231">
        <f>K12+L12</f>
        <v>2990</v>
      </c>
    </row>
    <row r="13" spans="1:13" s="355" customFormat="1" ht="14.15" customHeight="1" thickBot="1">
      <c r="A13" s="904"/>
      <c r="B13" s="347">
        <v>92</v>
      </c>
      <c r="C13" s="342" t="s">
        <v>819</v>
      </c>
      <c r="D13" s="347">
        <v>388</v>
      </c>
      <c r="E13" s="347">
        <v>0</v>
      </c>
      <c r="F13" s="347">
        <v>66</v>
      </c>
      <c r="G13" s="347">
        <v>10</v>
      </c>
      <c r="H13" s="342">
        <v>23</v>
      </c>
      <c r="I13" s="347">
        <v>16</v>
      </c>
      <c r="J13" s="347">
        <v>123</v>
      </c>
      <c r="K13" s="287">
        <f>D13+E13+F13+G13+H13+I13+J13</f>
        <v>626</v>
      </c>
      <c r="L13" s="287">
        <v>0</v>
      </c>
      <c r="M13" s="287">
        <f>K13+L13</f>
        <v>626</v>
      </c>
    </row>
    <row r="14" spans="1:13" ht="14.15" customHeight="1" thickTop="1">
      <c r="A14" s="904"/>
      <c r="B14" s="252"/>
      <c r="C14" s="253" t="s">
        <v>34</v>
      </c>
      <c r="D14" s="259">
        <f>SUM(D12:D13)</f>
        <v>2658</v>
      </c>
      <c r="E14" s="259">
        <f t="shared" ref="E14:M14" si="1">SUM(E12:E13)</f>
        <v>0</v>
      </c>
      <c r="F14" s="259">
        <f t="shared" si="1"/>
        <v>452</v>
      </c>
      <c r="G14" s="259">
        <f t="shared" si="1"/>
        <v>227</v>
      </c>
      <c r="H14" s="259">
        <f t="shared" si="1"/>
        <v>140</v>
      </c>
      <c r="I14" s="259">
        <f t="shared" si="1"/>
        <v>16</v>
      </c>
      <c r="J14" s="259">
        <f t="shared" si="1"/>
        <v>123</v>
      </c>
      <c r="K14" s="259">
        <f t="shared" si="1"/>
        <v>3616</v>
      </c>
      <c r="L14" s="259">
        <f t="shared" si="1"/>
        <v>0</v>
      </c>
      <c r="M14" s="259">
        <f t="shared" si="1"/>
        <v>3616</v>
      </c>
    </row>
    <row r="15" spans="1:13" ht="14.15" customHeight="1">
      <c r="A15" s="905"/>
      <c r="B15" s="263"/>
      <c r="C15" s="264"/>
      <c r="D15" s="358"/>
      <c r="E15" s="270"/>
      <c r="F15" s="270"/>
      <c r="G15" s="270"/>
      <c r="H15" s="270"/>
      <c r="I15" s="270"/>
      <c r="J15" s="270"/>
      <c r="K15" s="270"/>
      <c r="L15" s="270"/>
      <c r="M15" s="270"/>
    </row>
    <row r="16" spans="1:13" s="355" customFormat="1" ht="14.15" customHeight="1">
      <c r="A16" s="912" t="s">
        <v>711</v>
      </c>
      <c r="B16" s="339">
        <v>5</v>
      </c>
      <c r="C16" s="339" t="s">
        <v>714</v>
      </c>
      <c r="D16" s="339">
        <v>3692</v>
      </c>
      <c r="E16" s="339">
        <v>231</v>
      </c>
      <c r="F16" s="339">
        <v>894</v>
      </c>
      <c r="G16" s="339">
        <v>437</v>
      </c>
      <c r="H16" s="339">
        <v>312</v>
      </c>
      <c r="I16" s="339">
        <v>128</v>
      </c>
      <c r="J16" s="339">
        <v>934</v>
      </c>
      <c r="K16" s="231">
        <f t="shared" ref="K16:K21" si="2">D16+E16+F16+G16+H16+I16+J16</f>
        <v>6628</v>
      </c>
      <c r="L16" s="231">
        <v>0</v>
      </c>
      <c r="M16" s="231">
        <f t="shared" ref="M16:M21" si="3">K16+L16</f>
        <v>6628</v>
      </c>
    </row>
    <row r="17" spans="1:13" s="355" customFormat="1" ht="14.15" customHeight="1">
      <c r="A17" s="912"/>
      <c r="B17" s="340">
        <v>58</v>
      </c>
      <c r="C17" s="340" t="s">
        <v>719</v>
      </c>
      <c r="D17" s="340">
        <v>1184</v>
      </c>
      <c r="E17" s="340">
        <v>0</v>
      </c>
      <c r="F17" s="340">
        <v>238</v>
      </c>
      <c r="G17" s="340">
        <v>1259</v>
      </c>
      <c r="H17" s="340">
        <v>134</v>
      </c>
      <c r="I17" s="340">
        <v>0</v>
      </c>
      <c r="J17" s="340">
        <v>82</v>
      </c>
      <c r="K17" s="239">
        <f t="shared" si="2"/>
        <v>2897</v>
      </c>
      <c r="L17" s="239">
        <v>0</v>
      </c>
      <c r="M17" s="239">
        <f t="shared" si="3"/>
        <v>2897</v>
      </c>
    </row>
    <row r="18" spans="1:13" s="238" customFormat="1" ht="14.15" customHeight="1">
      <c r="A18" s="912"/>
      <c r="B18" s="239">
        <v>56</v>
      </c>
      <c r="C18" s="239" t="s">
        <v>720</v>
      </c>
      <c r="D18" s="239">
        <v>631</v>
      </c>
      <c r="E18" s="239">
        <v>0</v>
      </c>
      <c r="F18" s="239">
        <v>57</v>
      </c>
      <c r="G18" s="239">
        <v>11</v>
      </c>
      <c r="H18" s="239">
        <v>69</v>
      </c>
      <c r="I18" s="239">
        <v>0</v>
      </c>
      <c r="J18" s="239">
        <v>0</v>
      </c>
      <c r="K18" s="239">
        <f t="shared" si="2"/>
        <v>768</v>
      </c>
      <c r="L18" s="239">
        <v>0</v>
      </c>
      <c r="M18" s="239">
        <f t="shared" si="3"/>
        <v>768</v>
      </c>
    </row>
    <row r="19" spans="1:13" s="355" customFormat="1" ht="14.15" customHeight="1">
      <c r="A19" s="912"/>
      <c r="B19" s="340">
        <v>71</v>
      </c>
      <c r="C19" s="340" t="s">
        <v>721</v>
      </c>
      <c r="D19" s="340">
        <v>431</v>
      </c>
      <c r="E19" s="340">
        <v>0</v>
      </c>
      <c r="F19" s="340">
        <v>0</v>
      </c>
      <c r="G19" s="340">
        <v>0</v>
      </c>
      <c r="H19" s="340">
        <v>0</v>
      </c>
      <c r="I19" s="340">
        <v>0</v>
      </c>
      <c r="J19" s="340">
        <v>0</v>
      </c>
      <c r="K19" s="239">
        <f t="shared" si="2"/>
        <v>431</v>
      </c>
      <c r="L19" s="239">
        <v>0</v>
      </c>
      <c r="M19" s="239">
        <f t="shared" si="3"/>
        <v>431</v>
      </c>
    </row>
    <row r="20" spans="1:13" s="355" customFormat="1" ht="14.15" customHeight="1">
      <c r="A20" s="912"/>
      <c r="B20" s="340">
        <v>78</v>
      </c>
      <c r="C20" s="340" t="s">
        <v>722</v>
      </c>
      <c r="D20" s="340">
        <v>219</v>
      </c>
      <c r="E20" s="340">
        <v>0</v>
      </c>
      <c r="F20" s="340">
        <v>269</v>
      </c>
      <c r="G20" s="340">
        <v>0</v>
      </c>
      <c r="H20" s="340">
        <v>0</v>
      </c>
      <c r="I20" s="340">
        <v>0</v>
      </c>
      <c r="J20" s="340">
        <v>0</v>
      </c>
      <c r="K20" s="239">
        <f t="shared" si="2"/>
        <v>488</v>
      </c>
      <c r="L20" s="239">
        <v>0</v>
      </c>
      <c r="M20" s="239">
        <f t="shared" si="3"/>
        <v>488</v>
      </c>
    </row>
    <row r="21" spans="1:13" s="355" customFormat="1" ht="14.15" customHeight="1" thickBot="1">
      <c r="A21" s="912"/>
      <c r="B21" s="342">
        <v>85</v>
      </c>
      <c r="C21" s="342" t="s">
        <v>725</v>
      </c>
      <c r="D21" s="342">
        <v>75</v>
      </c>
      <c r="E21" s="342">
        <v>0</v>
      </c>
      <c r="F21" s="342">
        <v>0</v>
      </c>
      <c r="G21" s="342">
        <v>0</v>
      </c>
      <c r="H21" s="342">
        <v>0</v>
      </c>
      <c r="I21" s="342">
        <v>0</v>
      </c>
      <c r="J21" s="342">
        <v>0</v>
      </c>
      <c r="K21" s="247">
        <f t="shared" si="2"/>
        <v>75</v>
      </c>
      <c r="L21" s="247">
        <v>0</v>
      </c>
      <c r="M21" s="247">
        <f t="shared" si="3"/>
        <v>75</v>
      </c>
    </row>
    <row r="22" spans="1:13" ht="14.15" customHeight="1" thickTop="1">
      <c r="A22" s="912"/>
      <c r="B22" s="252"/>
      <c r="C22" s="253" t="s">
        <v>34</v>
      </c>
      <c r="D22" s="259">
        <f t="shared" ref="D22:M22" si="4">+SUM(D16:D21)</f>
        <v>6232</v>
      </c>
      <c r="E22" s="259">
        <f t="shared" si="4"/>
        <v>231</v>
      </c>
      <c r="F22" s="259">
        <f t="shared" si="4"/>
        <v>1458</v>
      </c>
      <c r="G22" s="259">
        <f t="shared" si="4"/>
        <v>1707</v>
      </c>
      <c r="H22" s="259">
        <f t="shared" si="4"/>
        <v>515</v>
      </c>
      <c r="I22" s="259">
        <f t="shared" si="4"/>
        <v>128</v>
      </c>
      <c r="J22" s="259">
        <f t="shared" si="4"/>
        <v>1016</v>
      </c>
      <c r="K22" s="259">
        <f t="shared" si="4"/>
        <v>11287</v>
      </c>
      <c r="L22" s="259">
        <f t="shared" si="4"/>
        <v>0</v>
      </c>
      <c r="M22" s="259">
        <f t="shared" si="4"/>
        <v>11287</v>
      </c>
    </row>
    <row r="23" spans="1:13" ht="14.15" customHeight="1">
      <c r="A23" s="912"/>
      <c r="B23" s="263"/>
      <c r="C23" s="264"/>
      <c r="D23" s="358"/>
      <c r="E23" s="270"/>
      <c r="F23" s="270"/>
      <c r="G23" s="270"/>
      <c r="H23" s="270"/>
      <c r="I23" s="270"/>
      <c r="J23" s="270"/>
      <c r="K23" s="270"/>
      <c r="L23" s="270"/>
      <c r="M23" s="270"/>
    </row>
    <row r="24" spans="1:13" s="355" customFormat="1" ht="14.15" customHeight="1" thickBot="1">
      <c r="A24" s="915" t="s">
        <v>512</v>
      </c>
      <c r="B24" s="347">
        <v>59</v>
      </c>
      <c r="C24" s="347" t="s">
        <v>730</v>
      </c>
      <c r="D24" s="347">
        <v>1802</v>
      </c>
      <c r="E24" s="347">
        <v>0</v>
      </c>
      <c r="F24" s="347">
        <v>166</v>
      </c>
      <c r="G24" s="347">
        <v>121</v>
      </c>
      <c r="H24" s="347">
        <v>97</v>
      </c>
      <c r="I24" s="347">
        <v>0</v>
      </c>
      <c r="J24" s="347">
        <v>2</v>
      </c>
      <c r="K24" s="287">
        <f>D24+E24+F24+G24+H24+I24+J24</f>
        <v>2188</v>
      </c>
      <c r="L24" s="287">
        <v>0</v>
      </c>
      <c r="M24" s="287">
        <f>K24+L24</f>
        <v>2188</v>
      </c>
    </row>
    <row r="25" spans="1:13" ht="14.15" customHeight="1" thickTop="1">
      <c r="A25" s="915"/>
      <c r="B25" s="252"/>
      <c r="C25" s="253" t="s">
        <v>34</v>
      </c>
      <c r="D25" s="259">
        <f t="shared" ref="D25:M25" si="5">+SUM(D24:D24)</f>
        <v>1802</v>
      </c>
      <c r="E25" s="259">
        <f t="shared" si="5"/>
        <v>0</v>
      </c>
      <c r="F25" s="259">
        <f t="shared" si="5"/>
        <v>166</v>
      </c>
      <c r="G25" s="259">
        <f t="shared" si="5"/>
        <v>121</v>
      </c>
      <c r="H25" s="259">
        <f t="shared" si="5"/>
        <v>97</v>
      </c>
      <c r="I25" s="259">
        <f t="shared" si="5"/>
        <v>0</v>
      </c>
      <c r="J25" s="259">
        <f t="shared" si="5"/>
        <v>2</v>
      </c>
      <c r="K25" s="259">
        <f t="shared" si="5"/>
        <v>2188</v>
      </c>
      <c r="L25" s="259">
        <f t="shared" si="5"/>
        <v>0</v>
      </c>
      <c r="M25" s="259">
        <f t="shared" si="5"/>
        <v>2188</v>
      </c>
    </row>
    <row r="26" spans="1:13" ht="14.15" customHeight="1">
      <c r="A26" s="915"/>
      <c r="B26" s="263"/>
      <c r="C26" s="264"/>
      <c r="D26" s="358"/>
      <c r="E26" s="270"/>
      <c r="F26" s="270"/>
      <c r="G26" s="270"/>
      <c r="H26" s="270"/>
      <c r="I26" s="270"/>
      <c r="J26" s="270"/>
      <c r="K26" s="270"/>
      <c r="L26" s="270"/>
      <c r="M26" s="270"/>
    </row>
    <row r="27" spans="1:13" s="355" customFormat="1" ht="14.15" customHeight="1" thickBot="1">
      <c r="A27" s="912" t="s">
        <v>737</v>
      </c>
      <c r="B27" s="360">
        <v>83</v>
      </c>
      <c r="C27" s="360" t="s">
        <v>739</v>
      </c>
      <c r="D27" s="360">
        <v>984</v>
      </c>
      <c r="E27" s="360">
        <v>15</v>
      </c>
      <c r="F27" s="360">
        <v>71</v>
      </c>
      <c r="G27" s="360">
        <v>69</v>
      </c>
      <c r="H27" s="360">
        <v>47</v>
      </c>
      <c r="I27" s="360">
        <v>20</v>
      </c>
      <c r="J27" s="360">
        <v>24</v>
      </c>
      <c r="K27" s="292">
        <f>D27+E27+F27+G27+H27+I27+J27</f>
        <v>1230</v>
      </c>
      <c r="L27" s="292">
        <v>0</v>
      </c>
      <c r="M27" s="292">
        <f>K27+L27</f>
        <v>1230</v>
      </c>
    </row>
    <row r="28" spans="1:13" ht="14.15" customHeight="1" thickTop="1">
      <c r="A28" s="912"/>
      <c r="B28" s="252"/>
      <c r="C28" s="253" t="s">
        <v>34</v>
      </c>
      <c r="D28" s="259">
        <f t="shared" ref="D28:M28" si="6">+D27</f>
        <v>984</v>
      </c>
      <c r="E28" s="259">
        <f t="shared" si="6"/>
        <v>15</v>
      </c>
      <c r="F28" s="259">
        <f t="shared" si="6"/>
        <v>71</v>
      </c>
      <c r="G28" s="259">
        <f t="shared" si="6"/>
        <v>69</v>
      </c>
      <c r="H28" s="259">
        <f t="shared" si="6"/>
        <v>47</v>
      </c>
      <c r="I28" s="259">
        <f t="shared" si="6"/>
        <v>20</v>
      </c>
      <c r="J28" s="259">
        <f t="shared" si="6"/>
        <v>24</v>
      </c>
      <c r="K28" s="259">
        <f t="shared" si="6"/>
        <v>1230</v>
      </c>
      <c r="L28" s="259">
        <f t="shared" si="6"/>
        <v>0</v>
      </c>
      <c r="M28" s="259">
        <f t="shared" si="6"/>
        <v>1230</v>
      </c>
    </row>
    <row r="29" spans="1:13" ht="14.15" customHeight="1">
      <c r="A29" s="912"/>
      <c r="B29" s="263"/>
      <c r="C29" s="264"/>
      <c r="D29" s="358"/>
      <c r="E29" s="270"/>
      <c r="F29" s="270"/>
      <c r="G29" s="270"/>
      <c r="H29" s="270"/>
      <c r="I29" s="270"/>
      <c r="J29" s="270"/>
      <c r="K29" s="270"/>
      <c r="L29" s="270"/>
      <c r="M29" s="270"/>
    </row>
    <row r="30" spans="1:13" s="355" customFormat="1" ht="14.15" customHeight="1" thickBot="1">
      <c r="A30" s="912" t="s">
        <v>745</v>
      </c>
      <c r="B30" s="347">
        <v>20</v>
      </c>
      <c r="C30" s="347" t="s">
        <v>746</v>
      </c>
      <c r="D30" s="347">
        <v>439</v>
      </c>
      <c r="E30" s="347">
        <v>0</v>
      </c>
      <c r="F30" s="347">
        <v>128</v>
      </c>
      <c r="G30" s="347">
        <v>58</v>
      </c>
      <c r="H30" s="347">
        <v>0</v>
      </c>
      <c r="I30" s="347">
        <v>0</v>
      </c>
      <c r="J30" s="347">
        <v>0</v>
      </c>
      <c r="K30" s="287">
        <f>D30+E30+F30+G30+H30+I30+J30</f>
        <v>625</v>
      </c>
      <c r="L30" s="287">
        <v>0</v>
      </c>
      <c r="M30" s="287">
        <f>K30+L30</f>
        <v>625</v>
      </c>
    </row>
    <row r="31" spans="1:13" ht="14.15" customHeight="1" thickTop="1">
      <c r="A31" s="912"/>
      <c r="B31" s="252"/>
      <c r="C31" s="253" t="s">
        <v>34</v>
      </c>
      <c r="D31" s="259">
        <f t="shared" ref="D31:M31" si="7">+D30</f>
        <v>439</v>
      </c>
      <c r="E31" s="259">
        <f t="shared" si="7"/>
        <v>0</v>
      </c>
      <c r="F31" s="259">
        <f t="shared" si="7"/>
        <v>128</v>
      </c>
      <c r="G31" s="259">
        <f t="shared" si="7"/>
        <v>58</v>
      </c>
      <c r="H31" s="259">
        <f t="shared" si="7"/>
        <v>0</v>
      </c>
      <c r="I31" s="259">
        <f t="shared" si="7"/>
        <v>0</v>
      </c>
      <c r="J31" s="259">
        <f t="shared" si="7"/>
        <v>0</v>
      </c>
      <c r="K31" s="259">
        <f t="shared" si="7"/>
        <v>625</v>
      </c>
      <c r="L31" s="259">
        <f t="shared" si="7"/>
        <v>0</v>
      </c>
      <c r="M31" s="259">
        <f t="shared" si="7"/>
        <v>625</v>
      </c>
    </row>
    <row r="32" spans="1:13" ht="14.15" customHeight="1">
      <c r="A32" s="912"/>
      <c r="B32" s="263"/>
      <c r="C32" s="264"/>
      <c r="D32" s="358"/>
      <c r="E32" s="270"/>
      <c r="F32" s="270"/>
      <c r="G32" s="270"/>
      <c r="H32" s="270"/>
      <c r="I32" s="270"/>
      <c r="J32" s="270"/>
      <c r="K32" s="270"/>
      <c r="L32" s="270"/>
      <c r="M32" s="270"/>
    </row>
    <row r="33" spans="1:13" s="355" customFormat="1" ht="14.15" customHeight="1">
      <c r="A33" s="912" t="s">
        <v>820</v>
      </c>
      <c r="B33" s="346">
        <v>89</v>
      </c>
      <c r="C33" s="346" t="s">
        <v>806</v>
      </c>
      <c r="D33" s="346">
        <v>9740</v>
      </c>
      <c r="E33" s="346">
        <v>0</v>
      </c>
      <c r="F33" s="346">
        <v>0</v>
      </c>
      <c r="G33" s="346">
        <v>0</v>
      </c>
      <c r="H33" s="346">
        <v>0</v>
      </c>
      <c r="I33" s="346">
        <v>0</v>
      </c>
      <c r="J33" s="346">
        <v>0</v>
      </c>
      <c r="K33" s="281">
        <f>D33+E33+F33+G33+H33+I33+J33</f>
        <v>9740</v>
      </c>
      <c r="L33" s="281">
        <v>0</v>
      </c>
      <c r="M33" s="281">
        <f>K33+L33</f>
        <v>9740</v>
      </c>
    </row>
    <row r="34" spans="1:13" s="355" customFormat="1" ht="14.15" customHeight="1" thickBot="1">
      <c r="A34" s="912"/>
      <c r="B34" s="342">
        <v>32</v>
      </c>
      <c r="C34" s="342" t="s">
        <v>754</v>
      </c>
      <c r="D34" s="342">
        <v>689</v>
      </c>
      <c r="E34" s="342">
        <v>0</v>
      </c>
      <c r="F34" s="342">
        <v>90</v>
      </c>
      <c r="G34" s="342">
        <v>0</v>
      </c>
      <c r="H34" s="342">
        <v>45</v>
      </c>
      <c r="I34" s="342">
        <v>0</v>
      </c>
      <c r="J34" s="342">
        <v>0</v>
      </c>
      <c r="K34" s="247">
        <f>D34+E34+F34+G34+H34+I34+J34</f>
        <v>824</v>
      </c>
      <c r="L34" s="247">
        <v>0</v>
      </c>
      <c r="M34" s="247">
        <f>K34+L34</f>
        <v>824</v>
      </c>
    </row>
    <row r="35" spans="1:13" ht="14.15" customHeight="1" thickTop="1">
      <c r="A35" s="912"/>
      <c r="B35" s="252"/>
      <c r="C35" s="253" t="s">
        <v>34</v>
      </c>
      <c r="D35" s="259">
        <f t="shared" ref="D35:M35" si="8">+SUM(D33:D34)</f>
        <v>10429</v>
      </c>
      <c r="E35" s="259">
        <f t="shared" si="8"/>
        <v>0</v>
      </c>
      <c r="F35" s="259">
        <f t="shared" si="8"/>
        <v>90</v>
      </c>
      <c r="G35" s="259">
        <f t="shared" si="8"/>
        <v>0</v>
      </c>
      <c r="H35" s="259">
        <f t="shared" si="8"/>
        <v>45</v>
      </c>
      <c r="I35" s="259">
        <f t="shared" si="8"/>
        <v>0</v>
      </c>
      <c r="J35" s="259">
        <f t="shared" si="8"/>
        <v>0</v>
      </c>
      <c r="K35" s="259">
        <f t="shared" si="8"/>
        <v>10564</v>
      </c>
      <c r="L35" s="259">
        <f t="shared" si="8"/>
        <v>0</v>
      </c>
      <c r="M35" s="259">
        <f t="shared" si="8"/>
        <v>10564</v>
      </c>
    </row>
    <row r="36" spans="1:13" ht="13.5" customHeight="1">
      <c r="A36" s="912"/>
      <c r="B36" s="263"/>
      <c r="C36" s="264"/>
      <c r="D36" s="358"/>
      <c r="E36" s="270"/>
      <c r="F36" s="270"/>
      <c r="G36" s="270"/>
      <c r="H36" s="270"/>
      <c r="I36" s="270"/>
      <c r="J36" s="270"/>
      <c r="K36" s="270"/>
      <c r="L36" s="270"/>
      <c r="M36" s="270"/>
    </row>
    <row r="37" spans="1:13" s="355" customFormat="1" ht="14.15" customHeight="1">
      <c r="A37" s="913" t="s">
        <v>520</v>
      </c>
      <c r="B37" s="339">
        <v>9</v>
      </c>
      <c r="C37" s="339" t="s">
        <v>755</v>
      </c>
      <c r="D37" s="339">
        <v>2015</v>
      </c>
      <c r="E37" s="339">
        <v>23</v>
      </c>
      <c r="F37" s="339">
        <v>357</v>
      </c>
      <c r="G37" s="339">
        <v>28</v>
      </c>
      <c r="H37" s="339">
        <v>210</v>
      </c>
      <c r="I37" s="339">
        <v>29</v>
      </c>
      <c r="J37" s="339">
        <v>0</v>
      </c>
      <c r="K37" s="231">
        <f>D37+E37+F37+G37+H37+I37+J37</f>
        <v>2662</v>
      </c>
      <c r="L37" s="231">
        <v>0</v>
      </c>
      <c r="M37" s="231">
        <f>K37+L37</f>
        <v>2662</v>
      </c>
    </row>
    <row r="38" spans="1:13" s="355" customFormat="1" ht="14.15" customHeight="1">
      <c r="A38" s="913"/>
      <c r="B38" s="340">
        <v>22</v>
      </c>
      <c r="C38" s="340" t="s">
        <v>757</v>
      </c>
      <c r="D38" s="340">
        <v>795</v>
      </c>
      <c r="E38" s="340">
        <v>0</v>
      </c>
      <c r="F38" s="340">
        <v>47</v>
      </c>
      <c r="G38" s="340">
        <v>17</v>
      </c>
      <c r="H38" s="340">
        <v>41</v>
      </c>
      <c r="I38" s="340">
        <v>0</v>
      </c>
      <c r="J38" s="340">
        <v>3</v>
      </c>
      <c r="K38" s="239">
        <f>D38+E38+F38+G38+H38+I38+J38</f>
        <v>903</v>
      </c>
      <c r="L38" s="239">
        <v>0</v>
      </c>
      <c r="M38" s="239">
        <f>K38+L38</f>
        <v>903</v>
      </c>
    </row>
    <row r="39" spans="1:13" s="355" customFormat="1" ht="14.15" customHeight="1">
      <c r="A39" s="913"/>
      <c r="B39" s="340">
        <v>74</v>
      </c>
      <c r="C39" s="340" t="s">
        <v>758</v>
      </c>
      <c r="D39" s="340">
        <v>825</v>
      </c>
      <c r="E39" s="340">
        <v>0</v>
      </c>
      <c r="F39" s="340">
        <v>0</v>
      </c>
      <c r="G39" s="340">
        <v>0</v>
      </c>
      <c r="H39" s="340">
        <v>45</v>
      </c>
      <c r="I39" s="340">
        <v>0</v>
      </c>
      <c r="J39" s="340">
        <v>18</v>
      </c>
      <c r="K39" s="239">
        <f>D39+E39+F39+G39+H39+I39+J39</f>
        <v>888</v>
      </c>
      <c r="L39" s="239">
        <v>0</v>
      </c>
      <c r="M39" s="239">
        <f>K39+L39</f>
        <v>888</v>
      </c>
    </row>
    <row r="40" spans="1:13" s="355" customFormat="1" ht="14.15" customHeight="1" thickBot="1">
      <c r="A40" s="913"/>
      <c r="B40" s="342">
        <v>63</v>
      </c>
      <c r="C40" s="342" t="s">
        <v>759</v>
      </c>
      <c r="D40" s="342">
        <v>417</v>
      </c>
      <c r="E40" s="342">
        <v>85</v>
      </c>
      <c r="F40" s="342">
        <v>558</v>
      </c>
      <c r="G40" s="342">
        <v>5</v>
      </c>
      <c r="H40" s="342">
        <v>57</v>
      </c>
      <c r="I40" s="342">
        <v>11</v>
      </c>
      <c r="J40" s="342">
        <v>40</v>
      </c>
      <c r="K40" s="247">
        <f>D40+E40+F40+G40+H40+I40+J40</f>
        <v>1173</v>
      </c>
      <c r="L40" s="247">
        <v>0</v>
      </c>
      <c r="M40" s="247">
        <f>K40+L40</f>
        <v>1173</v>
      </c>
    </row>
    <row r="41" spans="1:13" ht="14.15" customHeight="1" thickTop="1">
      <c r="A41" s="913"/>
      <c r="B41" s="252"/>
      <c r="C41" s="253" t="s">
        <v>34</v>
      </c>
      <c r="D41" s="259">
        <f t="shared" ref="D41:M41" si="9">+SUM(D37:D40)</f>
        <v>4052</v>
      </c>
      <c r="E41" s="259">
        <f t="shared" si="9"/>
        <v>108</v>
      </c>
      <c r="F41" s="259">
        <f t="shared" si="9"/>
        <v>962</v>
      </c>
      <c r="G41" s="259">
        <f t="shared" si="9"/>
        <v>50</v>
      </c>
      <c r="H41" s="259">
        <f t="shared" si="9"/>
        <v>353</v>
      </c>
      <c r="I41" s="259">
        <f t="shared" si="9"/>
        <v>40</v>
      </c>
      <c r="J41" s="259">
        <f t="shared" si="9"/>
        <v>61</v>
      </c>
      <c r="K41" s="259">
        <f t="shared" si="9"/>
        <v>5626</v>
      </c>
      <c r="L41" s="259">
        <f t="shared" si="9"/>
        <v>0</v>
      </c>
      <c r="M41" s="259">
        <f t="shared" si="9"/>
        <v>5626</v>
      </c>
    </row>
    <row r="42" spans="1:13" ht="14.15" customHeight="1">
      <c r="A42" s="913"/>
      <c r="B42" s="263"/>
      <c r="C42" s="264"/>
      <c r="D42" s="358"/>
      <c r="E42" s="270"/>
      <c r="F42" s="270"/>
      <c r="G42" s="270"/>
      <c r="H42" s="270"/>
      <c r="I42" s="270"/>
      <c r="J42" s="270"/>
      <c r="K42" s="270"/>
      <c r="L42" s="270"/>
      <c r="M42" s="270"/>
    </row>
    <row r="43" spans="1:13" ht="14.15" customHeight="1" thickBot="1">
      <c r="A43" s="912" t="s">
        <v>255</v>
      </c>
      <c r="B43" s="361"/>
      <c r="C43" s="361"/>
      <c r="D43" s="361"/>
      <c r="E43" s="361"/>
      <c r="F43" s="361"/>
      <c r="G43" s="361"/>
      <c r="H43" s="361"/>
      <c r="I43" s="361"/>
      <c r="J43" s="361"/>
      <c r="K43" s="361"/>
      <c r="L43" s="361"/>
      <c r="M43" s="361"/>
    </row>
    <row r="44" spans="1:13" ht="14.15" customHeight="1" thickTop="1">
      <c r="A44" s="912"/>
      <c r="B44" s="252"/>
      <c r="C44" s="253" t="s">
        <v>34</v>
      </c>
      <c r="D44" s="259">
        <f t="shared" ref="D44:M44" si="10">+D43</f>
        <v>0</v>
      </c>
      <c r="E44" s="259">
        <f t="shared" si="10"/>
        <v>0</v>
      </c>
      <c r="F44" s="259">
        <f t="shared" si="10"/>
        <v>0</v>
      </c>
      <c r="G44" s="259">
        <f t="shared" si="10"/>
        <v>0</v>
      </c>
      <c r="H44" s="259">
        <f t="shared" si="10"/>
        <v>0</v>
      </c>
      <c r="I44" s="259">
        <f t="shared" si="10"/>
        <v>0</v>
      </c>
      <c r="J44" s="259">
        <f t="shared" si="10"/>
        <v>0</v>
      </c>
      <c r="K44" s="259">
        <f t="shared" si="10"/>
        <v>0</v>
      </c>
      <c r="L44" s="259">
        <f t="shared" si="10"/>
        <v>0</v>
      </c>
      <c r="M44" s="259">
        <f t="shared" si="10"/>
        <v>0</v>
      </c>
    </row>
    <row r="45" spans="1:13" ht="14.15" customHeight="1">
      <c r="A45" s="912"/>
      <c r="B45" s="263"/>
      <c r="C45" s="264"/>
      <c r="D45" s="358"/>
      <c r="E45" s="270"/>
      <c r="F45" s="270"/>
      <c r="G45" s="270"/>
      <c r="H45" s="270"/>
      <c r="I45" s="270"/>
      <c r="J45" s="270"/>
      <c r="K45" s="270"/>
      <c r="L45" s="270"/>
      <c r="M45" s="270"/>
    </row>
    <row r="46" spans="1:13" ht="14.15" customHeight="1" thickBot="1">
      <c r="A46" s="912" t="s">
        <v>768</v>
      </c>
      <c r="B46" s="362">
        <v>23</v>
      </c>
      <c r="C46" s="362" t="s">
        <v>821</v>
      </c>
      <c r="D46" s="362">
        <v>434</v>
      </c>
      <c r="E46" s="362">
        <v>0</v>
      </c>
      <c r="F46" s="362">
        <v>0</v>
      </c>
      <c r="G46" s="362">
        <v>0</v>
      </c>
      <c r="H46" s="362">
        <v>56</v>
      </c>
      <c r="I46" s="362">
        <v>0</v>
      </c>
      <c r="J46" s="362">
        <v>79</v>
      </c>
      <c r="K46" s="287">
        <f>D46+E46+F46+G46+H46+I46+J46</f>
        <v>569</v>
      </c>
      <c r="L46" s="287">
        <v>0</v>
      </c>
      <c r="M46" s="287">
        <f>K46+L46</f>
        <v>569</v>
      </c>
    </row>
    <row r="47" spans="1:13" ht="14.15" customHeight="1" thickTop="1">
      <c r="A47" s="912"/>
      <c r="B47" s="252"/>
      <c r="C47" s="253" t="s">
        <v>34</v>
      </c>
      <c r="D47" s="259">
        <f t="shared" ref="D47:M47" si="11">+D46</f>
        <v>434</v>
      </c>
      <c r="E47" s="259">
        <f t="shared" si="11"/>
        <v>0</v>
      </c>
      <c r="F47" s="259">
        <f t="shared" si="11"/>
        <v>0</v>
      </c>
      <c r="G47" s="259">
        <f t="shared" si="11"/>
        <v>0</v>
      </c>
      <c r="H47" s="259">
        <f t="shared" si="11"/>
        <v>56</v>
      </c>
      <c r="I47" s="259">
        <f t="shared" si="11"/>
        <v>0</v>
      </c>
      <c r="J47" s="259">
        <f t="shared" si="11"/>
        <v>79</v>
      </c>
      <c r="K47" s="259">
        <f t="shared" si="11"/>
        <v>569</v>
      </c>
      <c r="L47" s="259">
        <f t="shared" si="11"/>
        <v>0</v>
      </c>
      <c r="M47" s="259">
        <f t="shared" si="11"/>
        <v>569</v>
      </c>
    </row>
    <row r="48" spans="1:13" ht="14.15" customHeight="1">
      <c r="A48" s="912"/>
      <c r="B48" s="263"/>
      <c r="C48" s="264"/>
      <c r="D48" s="358"/>
      <c r="E48" s="270"/>
      <c r="F48" s="270"/>
      <c r="G48" s="270"/>
      <c r="H48" s="270"/>
      <c r="I48" s="270"/>
      <c r="J48" s="270"/>
      <c r="K48" s="270"/>
      <c r="L48" s="270"/>
      <c r="M48" s="270"/>
    </row>
    <row r="49" spans="1:13" ht="14.15" customHeight="1">
      <c r="A49" s="796" t="s">
        <v>774</v>
      </c>
      <c r="B49" s="789"/>
      <c r="C49" s="352" t="s">
        <v>34</v>
      </c>
      <c r="D49" s="315">
        <f t="shared" ref="D49:M49" si="12">+D10+D14+D22+D25+D28+D31+D35+D41+D44+D47</f>
        <v>30318</v>
      </c>
      <c r="E49" s="315">
        <f t="shared" si="12"/>
        <v>354</v>
      </c>
      <c r="F49" s="315">
        <f t="shared" si="12"/>
        <v>4603</v>
      </c>
      <c r="G49" s="315">
        <f t="shared" si="12"/>
        <v>2232</v>
      </c>
      <c r="H49" s="315">
        <f t="shared" si="12"/>
        <v>1393</v>
      </c>
      <c r="I49" s="315">
        <f t="shared" si="12"/>
        <v>204</v>
      </c>
      <c r="J49" s="315">
        <f t="shared" si="12"/>
        <v>1322</v>
      </c>
      <c r="K49" s="315">
        <f t="shared" si="12"/>
        <v>40426</v>
      </c>
      <c r="L49" s="315">
        <f t="shared" si="12"/>
        <v>0</v>
      </c>
      <c r="M49" s="315">
        <f t="shared" si="12"/>
        <v>40426</v>
      </c>
    </row>
    <row r="50" spans="1:13" ht="14.15" customHeight="1"/>
    <row r="51" spans="1:13" ht="14.15" customHeight="1"/>
    <row r="52" spans="1:13" ht="14.15" customHeight="1"/>
    <row r="53" spans="1:13" ht="14.15" customHeight="1"/>
    <row r="54" spans="1:13" ht="14.15" customHeight="1"/>
    <row r="55" spans="1:13" ht="14.15" customHeight="1"/>
    <row r="56" spans="1:13" ht="14.15" customHeight="1"/>
    <row r="57" spans="1:13" ht="14.15" customHeight="1"/>
    <row r="58" spans="1:13" ht="14.15" customHeight="1"/>
    <row r="59" spans="1:13" ht="14.15" customHeight="1"/>
    <row r="60" spans="1:13" ht="14.15" customHeight="1"/>
    <row r="61" spans="1:13" ht="14.15" customHeight="1"/>
    <row r="62" spans="1:13" ht="14.15" customHeight="1"/>
    <row r="63" spans="1:13" ht="14.15" customHeight="1"/>
    <row r="64" spans="1:13" ht="14.15" customHeight="1"/>
    <row r="65" ht="14.15" customHeight="1"/>
    <row r="66" ht="14.15" customHeight="1"/>
    <row r="67" ht="14.15" customHeight="1"/>
    <row r="68" ht="14.15" customHeight="1"/>
    <row r="69" ht="14.15" customHeight="1"/>
    <row r="70" ht="14.15" customHeight="1"/>
    <row r="71" ht="14.15" customHeight="1"/>
    <row r="72" ht="14.15" customHeight="1"/>
    <row r="73" ht="14.15" customHeight="1"/>
    <row r="74" ht="14.15" customHeight="1"/>
    <row r="75" ht="14.15" customHeight="1"/>
    <row r="76" ht="14.15" customHeight="1"/>
    <row r="77" ht="14.15" customHeight="1"/>
    <row r="78" ht="14.15" customHeight="1"/>
    <row r="79" ht="14.15" customHeight="1"/>
    <row r="80" ht="14.15" customHeight="1"/>
    <row r="81" ht="14.15" customHeight="1"/>
    <row r="82" ht="14.15" customHeight="1"/>
    <row r="83" ht="14.15" customHeight="1"/>
    <row r="84" ht="14.15" customHeight="1"/>
    <row r="85" ht="14.15" customHeight="1"/>
    <row r="86" ht="14.15" customHeight="1"/>
    <row r="87" ht="14.15" customHeight="1"/>
    <row r="88" ht="14.15" customHeight="1"/>
    <row r="89" ht="14.15" customHeight="1"/>
    <row r="90" ht="14.15" customHeight="1"/>
    <row r="91" ht="14.15" customHeight="1"/>
    <row r="92" ht="14.15" customHeight="1"/>
    <row r="93" ht="14.15" customHeight="1"/>
    <row r="94" ht="14.15" customHeight="1"/>
    <row r="95" ht="14.15" customHeight="1"/>
    <row r="96" ht="14.15" customHeight="1"/>
    <row r="97" ht="14.15" customHeight="1"/>
    <row r="98" ht="14.15" customHeight="1"/>
    <row r="99" ht="14.15" customHeight="1"/>
    <row r="100" ht="14.15" customHeight="1"/>
    <row r="101" ht="14.15" customHeight="1"/>
    <row r="102" ht="14.15" customHeight="1"/>
    <row r="103" ht="14.15" customHeight="1"/>
    <row r="104" ht="14.15" customHeight="1"/>
    <row r="105" ht="14.15" customHeight="1"/>
    <row r="106" ht="14.15" customHeight="1"/>
    <row r="107" ht="14.15" customHeight="1"/>
    <row r="108" ht="14.15" customHeight="1"/>
    <row r="109" ht="14.15" customHeight="1"/>
    <row r="110" ht="14.15" customHeight="1"/>
    <row r="111" ht="14.15" customHeight="1"/>
    <row r="112" ht="14.15" customHeight="1"/>
    <row r="113" ht="14.15" customHeight="1"/>
    <row r="114" ht="14.15" customHeight="1"/>
    <row r="115" ht="14.15" customHeight="1"/>
    <row r="116" ht="14.15" customHeight="1"/>
    <row r="117" ht="14.15" customHeight="1"/>
    <row r="118" ht="14.15" customHeight="1"/>
    <row r="119" ht="14.15" customHeight="1"/>
    <row r="120" ht="14.15" customHeight="1"/>
    <row r="121" ht="14.15" customHeight="1"/>
    <row r="122" ht="14.15" customHeight="1"/>
    <row r="123" ht="14.15" customHeight="1"/>
    <row r="124" ht="14.15" customHeight="1"/>
    <row r="125" ht="14.15" customHeight="1"/>
    <row r="126" ht="14.15" customHeight="1"/>
    <row r="127" ht="14.15" customHeight="1"/>
    <row r="128" ht="14.15" customHeight="1"/>
    <row r="129" ht="14.15" customHeight="1"/>
    <row r="130" ht="14.15" customHeight="1"/>
    <row r="131" ht="14.15" customHeight="1"/>
    <row r="132" ht="14.15" customHeight="1"/>
    <row r="133" ht="14.15" customHeight="1"/>
    <row r="134" ht="14.15" customHeight="1"/>
    <row r="135" ht="14.15" customHeight="1"/>
    <row r="136" ht="14.15" customHeight="1"/>
    <row r="137" ht="14.15" customHeight="1"/>
    <row r="138" ht="14.15" customHeight="1"/>
    <row r="139" ht="14.15" customHeight="1"/>
    <row r="140" ht="14.15" customHeight="1"/>
    <row r="141" ht="14.15" customHeight="1"/>
    <row r="142" ht="14.15" customHeight="1"/>
    <row r="143" ht="14.15" customHeight="1"/>
    <row r="144" ht="14.15" customHeight="1"/>
    <row r="145" ht="14.15" customHeight="1"/>
    <row r="146" ht="14.15" customHeight="1"/>
    <row r="147" ht="14.15" customHeight="1"/>
    <row r="148" ht="14.15" customHeight="1"/>
    <row r="149" ht="14.15" customHeight="1"/>
    <row r="150" ht="14.15" customHeight="1"/>
    <row r="151" ht="14.15" customHeight="1"/>
    <row r="152" ht="14.15" customHeight="1"/>
    <row r="153" ht="14.15" customHeight="1"/>
    <row r="154" ht="14.15" customHeight="1"/>
    <row r="155" ht="14.15" customHeight="1"/>
    <row r="156" ht="14.15" customHeight="1"/>
    <row r="157" ht="14.15" customHeight="1"/>
    <row r="158" ht="14.15" customHeight="1"/>
    <row r="159" ht="14.15" customHeight="1"/>
    <row r="16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sheetData>
  <mergeCells count="24">
    <mergeCell ref="A43:A45"/>
    <mergeCell ref="A46:A48"/>
    <mergeCell ref="A16:A23"/>
    <mergeCell ref="A24:A26"/>
    <mergeCell ref="A27:A29"/>
    <mergeCell ref="A30:A32"/>
    <mergeCell ref="A33:A36"/>
    <mergeCell ref="A37:A42"/>
    <mergeCell ref="H5:H6"/>
    <mergeCell ref="I5:I6"/>
    <mergeCell ref="J5:J6"/>
    <mergeCell ref="K5:K6"/>
    <mergeCell ref="A7:A11"/>
    <mergeCell ref="A12:A15"/>
    <mergeCell ref="A3:A6"/>
    <mergeCell ref="B3:B6"/>
    <mergeCell ref="C3:C6"/>
    <mergeCell ref="D3:M3"/>
    <mergeCell ref="D4:K4"/>
    <mergeCell ref="L4:L6"/>
    <mergeCell ref="M4:M6"/>
    <mergeCell ref="D5:E5"/>
    <mergeCell ref="F5:F6"/>
    <mergeCell ref="G5:G6"/>
  </mergeCells>
  <phoneticPr fontId="6"/>
  <pageMargins left="0.98425196850393704" right="0.19685039370078741" top="0.59055118110236227" bottom="0.59055118110236227" header="0.51181102362204722" footer="0.51181102362204722"/>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1A98C7-040D-400A-A8EE-5A61A81E5BD9}">
  <dimension ref="A1:WVX182"/>
  <sheetViews>
    <sheetView view="pageBreakPreview" zoomScale="70" zoomScaleNormal="100" zoomScaleSheetLayoutView="70" workbookViewId="0">
      <pane xSplit="3" ySplit="4" topLeftCell="D5" activePane="bottomRight" state="frozen"/>
      <selection pane="topRight" activeCell="D1" sqref="D1"/>
      <selection pane="bottomLeft" activeCell="A5" sqref="A5"/>
      <selection pane="bottomRight"/>
    </sheetView>
  </sheetViews>
  <sheetFormatPr defaultRowHeight="13"/>
  <cols>
    <col min="1" max="1" width="5.6328125" style="150" customWidth="1"/>
    <col min="2" max="2" width="3" style="150" customWidth="1"/>
    <col min="3" max="3" width="15.36328125" style="150" customWidth="1"/>
    <col min="4" max="4" width="6.6328125" style="150" customWidth="1"/>
    <col min="5" max="16" width="6.08984375" style="150" customWidth="1"/>
    <col min="17" max="17" width="7.54296875" style="150" customWidth="1"/>
    <col min="18" max="256" width="8.7265625" style="2016"/>
    <col min="257" max="257" width="5.6328125" style="2016" customWidth="1"/>
    <col min="258" max="258" width="3" style="2016" customWidth="1"/>
    <col min="259" max="259" width="15.36328125" style="2016" customWidth="1"/>
    <col min="260" max="273" width="6.08984375" style="2016" customWidth="1"/>
    <col min="274" max="512" width="8.7265625" style="2016"/>
    <col min="513" max="513" width="5.6328125" style="2016" customWidth="1"/>
    <col min="514" max="514" width="3" style="2016" customWidth="1"/>
    <col min="515" max="515" width="15.36328125" style="2016" customWidth="1"/>
    <col min="516" max="529" width="6.08984375" style="2016" customWidth="1"/>
    <col min="530" max="768" width="8.7265625" style="2016"/>
    <col min="769" max="769" width="5.6328125" style="2016" customWidth="1"/>
    <col min="770" max="770" width="3" style="2016" customWidth="1"/>
    <col min="771" max="771" width="15.36328125" style="2016" customWidth="1"/>
    <col min="772" max="785" width="6.08984375" style="2016" customWidth="1"/>
    <col min="786" max="1024" width="8.7265625" style="2016"/>
    <col min="1025" max="1025" width="5.6328125" style="2016" customWidth="1"/>
    <col min="1026" max="1026" width="3" style="2016" customWidth="1"/>
    <col min="1027" max="1027" width="15.36328125" style="2016" customWidth="1"/>
    <col min="1028" max="1041" width="6.08984375" style="2016" customWidth="1"/>
    <col min="1042" max="1280" width="8.7265625" style="2016"/>
    <col min="1281" max="1281" width="5.6328125" style="2016" customWidth="1"/>
    <col min="1282" max="1282" width="3" style="2016" customWidth="1"/>
    <col min="1283" max="1283" width="15.36328125" style="2016" customWidth="1"/>
    <col min="1284" max="1297" width="6.08984375" style="2016" customWidth="1"/>
    <col min="1298" max="1536" width="8.7265625" style="2016"/>
    <col min="1537" max="1537" width="5.6328125" style="2016" customWidth="1"/>
    <col min="1538" max="1538" width="3" style="2016" customWidth="1"/>
    <col min="1539" max="1539" width="15.36328125" style="2016" customWidth="1"/>
    <col min="1540" max="1553" width="6.08984375" style="2016" customWidth="1"/>
    <col min="1554" max="1792" width="8.7265625" style="2016"/>
    <col min="1793" max="1793" width="5.6328125" style="2016" customWidth="1"/>
    <col min="1794" max="1794" width="3" style="2016" customWidth="1"/>
    <col min="1795" max="1795" width="15.36328125" style="2016" customWidth="1"/>
    <col min="1796" max="1809" width="6.08984375" style="2016" customWidth="1"/>
    <col min="1810" max="2048" width="8.7265625" style="2016"/>
    <col min="2049" max="2049" width="5.6328125" style="2016" customWidth="1"/>
    <col min="2050" max="2050" width="3" style="2016" customWidth="1"/>
    <col min="2051" max="2051" width="15.36328125" style="2016" customWidth="1"/>
    <col min="2052" max="2065" width="6.08984375" style="2016" customWidth="1"/>
    <col min="2066" max="2304" width="8.7265625" style="2016"/>
    <col min="2305" max="2305" width="5.6328125" style="2016" customWidth="1"/>
    <col min="2306" max="2306" width="3" style="2016" customWidth="1"/>
    <col min="2307" max="2307" width="15.36328125" style="2016" customWidth="1"/>
    <col min="2308" max="2321" width="6.08984375" style="2016" customWidth="1"/>
    <col min="2322" max="2560" width="8.7265625" style="2016"/>
    <col min="2561" max="2561" width="5.6328125" style="2016" customWidth="1"/>
    <col min="2562" max="2562" width="3" style="2016" customWidth="1"/>
    <col min="2563" max="2563" width="15.36328125" style="2016" customWidth="1"/>
    <col min="2564" max="2577" width="6.08984375" style="2016" customWidth="1"/>
    <col min="2578" max="2816" width="8.7265625" style="2016"/>
    <col min="2817" max="2817" width="5.6328125" style="2016" customWidth="1"/>
    <col min="2818" max="2818" width="3" style="2016" customWidth="1"/>
    <col min="2819" max="2819" width="15.36328125" style="2016" customWidth="1"/>
    <col min="2820" max="2833" width="6.08984375" style="2016" customWidth="1"/>
    <col min="2834" max="3072" width="8.7265625" style="2016"/>
    <col min="3073" max="3073" width="5.6328125" style="2016" customWidth="1"/>
    <col min="3074" max="3074" width="3" style="2016" customWidth="1"/>
    <col min="3075" max="3075" width="15.36328125" style="2016" customWidth="1"/>
    <col min="3076" max="3089" width="6.08984375" style="2016" customWidth="1"/>
    <col min="3090" max="3328" width="8.7265625" style="2016"/>
    <col min="3329" max="3329" width="5.6328125" style="2016" customWidth="1"/>
    <col min="3330" max="3330" width="3" style="2016" customWidth="1"/>
    <col min="3331" max="3331" width="15.36328125" style="2016" customWidth="1"/>
    <col min="3332" max="3345" width="6.08984375" style="2016" customWidth="1"/>
    <col min="3346" max="3584" width="8.7265625" style="2016"/>
    <col min="3585" max="3585" width="5.6328125" style="2016" customWidth="1"/>
    <col min="3586" max="3586" width="3" style="2016" customWidth="1"/>
    <col min="3587" max="3587" width="15.36328125" style="2016" customWidth="1"/>
    <col min="3588" max="3601" width="6.08984375" style="2016" customWidth="1"/>
    <col min="3602" max="3840" width="8.7265625" style="2016"/>
    <col min="3841" max="3841" width="5.6328125" style="2016" customWidth="1"/>
    <col min="3842" max="3842" width="3" style="2016" customWidth="1"/>
    <col min="3843" max="3843" width="15.36328125" style="2016" customWidth="1"/>
    <col min="3844" max="3857" width="6.08984375" style="2016" customWidth="1"/>
    <col min="3858" max="4096" width="8.7265625" style="2016"/>
    <col min="4097" max="4097" width="5.6328125" style="2016" customWidth="1"/>
    <col min="4098" max="4098" width="3" style="2016" customWidth="1"/>
    <col min="4099" max="4099" width="15.36328125" style="2016" customWidth="1"/>
    <col min="4100" max="4113" width="6.08984375" style="2016" customWidth="1"/>
    <col min="4114" max="4352" width="8.7265625" style="2016"/>
    <col min="4353" max="4353" width="5.6328125" style="2016" customWidth="1"/>
    <col min="4354" max="4354" width="3" style="2016" customWidth="1"/>
    <col min="4355" max="4355" width="15.36328125" style="2016" customWidth="1"/>
    <col min="4356" max="4369" width="6.08984375" style="2016" customWidth="1"/>
    <col min="4370" max="4608" width="8.7265625" style="2016"/>
    <col min="4609" max="4609" width="5.6328125" style="2016" customWidth="1"/>
    <col min="4610" max="4610" width="3" style="2016" customWidth="1"/>
    <col min="4611" max="4611" width="15.36328125" style="2016" customWidth="1"/>
    <col min="4612" max="4625" width="6.08984375" style="2016" customWidth="1"/>
    <col min="4626" max="4864" width="8.7265625" style="2016"/>
    <col min="4865" max="4865" width="5.6328125" style="2016" customWidth="1"/>
    <col min="4866" max="4866" width="3" style="2016" customWidth="1"/>
    <col min="4867" max="4867" width="15.36328125" style="2016" customWidth="1"/>
    <col min="4868" max="4881" width="6.08984375" style="2016" customWidth="1"/>
    <col min="4882" max="5120" width="8.7265625" style="2016"/>
    <col min="5121" max="5121" width="5.6328125" style="2016" customWidth="1"/>
    <col min="5122" max="5122" width="3" style="2016" customWidth="1"/>
    <col min="5123" max="5123" width="15.36328125" style="2016" customWidth="1"/>
    <col min="5124" max="5137" width="6.08984375" style="2016" customWidth="1"/>
    <col min="5138" max="5376" width="8.7265625" style="2016"/>
    <col min="5377" max="5377" width="5.6328125" style="2016" customWidth="1"/>
    <col min="5378" max="5378" width="3" style="2016" customWidth="1"/>
    <col min="5379" max="5379" width="15.36328125" style="2016" customWidth="1"/>
    <col min="5380" max="5393" width="6.08984375" style="2016" customWidth="1"/>
    <col min="5394" max="5632" width="8.7265625" style="2016"/>
    <col min="5633" max="5633" width="5.6328125" style="2016" customWidth="1"/>
    <col min="5634" max="5634" width="3" style="2016" customWidth="1"/>
    <col min="5635" max="5635" width="15.36328125" style="2016" customWidth="1"/>
    <col min="5636" max="5649" width="6.08984375" style="2016" customWidth="1"/>
    <col min="5650" max="5888" width="8.7265625" style="2016"/>
    <col min="5889" max="5889" width="5.6328125" style="2016" customWidth="1"/>
    <col min="5890" max="5890" width="3" style="2016" customWidth="1"/>
    <col min="5891" max="5891" width="15.36328125" style="2016" customWidth="1"/>
    <col min="5892" max="5905" width="6.08984375" style="2016" customWidth="1"/>
    <col min="5906" max="6144" width="8.7265625" style="2016"/>
    <col min="6145" max="6145" width="5.6328125" style="2016" customWidth="1"/>
    <col min="6146" max="6146" width="3" style="2016" customWidth="1"/>
    <col min="6147" max="6147" width="15.36328125" style="2016" customWidth="1"/>
    <col min="6148" max="6161" width="6.08984375" style="2016" customWidth="1"/>
    <col min="6162" max="6400" width="8.7265625" style="2016"/>
    <col min="6401" max="6401" width="5.6328125" style="2016" customWidth="1"/>
    <col min="6402" max="6402" width="3" style="2016" customWidth="1"/>
    <col min="6403" max="6403" width="15.36328125" style="2016" customWidth="1"/>
    <col min="6404" max="6417" width="6.08984375" style="2016" customWidth="1"/>
    <col min="6418" max="6656" width="8.7265625" style="2016"/>
    <col min="6657" max="6657" width="5.6328125" style="2016" customWidth="1"/>
    <col min="6658" max="6658" width="3" style="2016" customWidth="1"/>
    <col min="6659" max="6659" width="15.36328125" style="2016" customWidth="1"/>
    <col min="6660" max="6673" width="6.08984375" style="2016" customWidth="1"/>
    <col min="6674" max="6912" width="8.7265625" style="2016"/>
    <col min="6913" max="6913" width="5.6328125" style="2016" customWidth="1"/>
    <col min="6914" max="6914" width="3" style="2016" customWidth="1"/>
    <col min="6915" max="6915" width="15.36328125" style="2016" customWidth="1"/>
    <col min="6916" max="6929" width="6.08984375" style="2016" customWidth="1"/>
    <col min="6930" max="7168" width="8.7265625" style="2016"/>
    <col min="7169" max="7169" width="5.6328125" style="2016" customWidth="1"/>
    <col min="7170" max="7170" width="3" style="2016" customWidth="1"/>
    <col min="7171" max="7171" width="15.36328125" style="2016" customWidth="1"/>
    <col min="7172" max="7185" width="6.08984375" style="2016" customWidth="1"/>
    <col min="7186" max="7424" width="8.7265625" style="2016"/>
    <col min="7425" max="7425" width="5.6328125" style="2016" customWidth="1"/>
    <col min="7426" max="7426" width="3" style="2016" customWidth="1"/>
    <col min="7427" max="7427" width="15.36328125" style="2016" customWidth="1"/>
    <col min="7428" max="7441" width="6.08984375" style="2016" customWidth="1"/>
    <col min="7442" max="7680" width="8.7265625" style="2016"/>
    <col min="7681" max="7681" width="5.6328125" style="2016" customWidth="1"/>
    <col min="7682" max="7682" width="3" style="2016" customWidth="1"/>
    <col min="7683" max="7683" width="15.36328125" style="2016" customWidth="1"/>
    <col min="7684" max="7697" width="6.08984375" style="2016" customWidth="1"/>
    <col min="7698" max="7936" width="8.7265625" style="2016"/>
    <col min="7937" max="7937" width="5.6328125" style="2016" customWidth="1"/>
    <col min="7938" max="7938" width="3" style="2016" customWidth="1"/>
    <col min="7939" max="7939" width="15.36328125" style="2016" customWidth="1"/>
    <col min="7940" max="7953" width="6.08984375" style="2016" customWidth="1"/>
    <col min="7954" max="8192" width="8.7265625" style="2016"/>
    <col min="8193" max="8193" width="5.6328125" style="2016" customWidth="1"/>
    <col min="8194" max="8194" width="3" style="2016" customWidth="1"/>
    <col min="8195" max="8195" width="15.36328125" style="2016" customWidth="1"/>
    <col min="8196" max="8209" width="6.08984375" style="2016" customWidth="1"/>
    <col min="8210" max="8448" width="8.7265625" style="2016"/>
    <col min="8449" max="8449" width="5.6328125" style="2016" customWidth="1"/>
    <col min="8450" max="8450" width="3" style="2016" customWidth="1"/>
    <col min="8451" max="8451" width="15.36328125" style="2016" customWidth="1"/>
    <col min="8452" max="8465" width="6.08984375" style="2016" customWidth="1"/>
    <col min="8466" max="8704" width="8.7265625" style="2016"/>
    <col min="8705" max="8705" width="5.6328125" style="2016" customWidth="1"/>
    <col min="8706" max="8706" width="3" style="2016" customWidth="1"/>
    <col min="8707" max="8707" width="15.36328125" style="2016" customWidth="1"/>
    <col min="8708" max="8721" width="6.08984375" style="2016" customWidth="1"/>
    <col min="8722" max="8960" width="8.7265625" style="2016"/>
    <col min="8961" max="8961" width="5.6328125" style="2016" customWidth="1"/>
    <col min="8962" max="8962" width="3" style="2016" customWidth="1"/>
    <col min="8963" max="8963" width="15.36328125" style="2016" customWidth="1"/>
    <col min="8964" max="8977" width="6.08984375" style="2016" customWidth="1"/>
    <col min="8978" max="9216" width="8.7265625" style="2016"/>
    <col min="9217" max="9217" width="5.6328125" style="2016" customWidth="1"/>
    <col min="9218" max="9218" width="3" style="2016" customWidth="1"/>
    <col min="9219" max="9219" width="15.36328125" style="2016" customWidth="1"/>
    <col min="9220" max="9233" width="6.08984375" style="2016" customWidth="1"/>
    <col min="9234" max="9472" width="8.7265625" style="2016"/>
    <col min="9473" max="9473" width="5.6328125" style="2016" customWidth="1"/>
    <col min="9474" max="9474" width="3" style="2016" customWidth="1"/>
    <col min="9475" max="9475" width="15.36328125" style="2016" customWidth="1"/>
    <col min="9476" max="9489" width="6.08984375" style="2016" customWidth="1"/>
    <col min="9490" max="9728" width="8.7265625" style="2016"/>
    <col min="9729" max="9729" width="5.6328125" style="2016" customWidth="1"/>
    <col min="9730" max="9730" width="3" style="2016" customWidth="1"/>
    <col min="9731" max="9731" width="15.36328125" style="2016" customWidth="1"/>
    <col min="9732" max="9745" width="6.08984375" style="2016" customWidth="1"/>
    <col min="9746" max="9984" width="8.7265625" style="2016"/>
    <col min="9985" max="9985" width="5.6328125" style="2016" customWidth="1"/>
    <col min="9986" max="9986" width="3" style="2016" customWidth="1"/>
    <col min="9987" max="9987" width="15.36328125" style="2016" customWidth="1"/>
    <col min="9988" max="10001" width="6.08984375" style="2016" customWidth="1"/>
    <col min="10002" max="10240" width="8.7265625" style="2016"/>
    <col min="10241" max="10241" width="5.6328125" style="2016" customWidth="1"/>
    <col min="10242" max="10242" width="3" style="2016" customWidth="1"/>
    <col min="10243" max="10243" width="15.36328125" style="2016" customWidth="1"/>
    <col min="10244" max="10257" width="6.08984375" style="2016" customWidth="1"/>
    <col min="10258" max="10496" width="8.7265625" style="2016"/>
    <col min="10497" max="10497" width="5.6328125" style="2016" customWidth="1"/>
    <col min="10498" max="10498" width="3" style="2016" customWidth="1"/>
    <col min="10499" max="10499" width="15.36328125" style="2016" customWidth="1"/>
    <col min="10500" max="10513" width="6.08984375" style="2016" customWidth="1"/>
    <col min="10514" max="10752" width="8.7265625" style="2016"/>
    <col min="10753" max="10753" width="5.6328125" style="2016" customWidth="1"/>
    <col min="10754" max="10754" width="3" style="2016" customWidth="1"/>
    <col min="10755" max="10755" width="15.36328125" style="2016" customWidth="1"/>
    <col min="10756" max="10769" width="6.08984375" style="2016" customWidth="1"/>
    <col min="10770" max="11008" width="8.7265625" style="2016"/>
    <col min="11009" max="11009" width="5.6328125" style="2016" customWidth="1"/>
    <col min="11010" max="11010" width="3" style="2016" customWidth="1"/>
    <col min="11011" max="11011" width="15.36328125" style="2016" customWidth="1"/>
    <col min="11012" max="11025" width="6.08984375" style="2016" customWidth="1"/>
    <col min="11026" max="11264" width="8.7265625" style="2016"/>
    <col min="11265" max="11265" width="5.6328125" style="2016" customWidth="1"/>
    <col min="11266" max="11266" width="3" style="2016" customWidth="1"/>
    <col min="11267" max="11267" width="15.36328125" style="2016" customWidth="1"/>
    <col min="11268" max="11281" width="6.08984375" style="2016" customWidth="1"/>
    <col min="11282" max="11520" width="8.7265625" style="2016"/>
    <col min="11521" max="11521" width="5.6328125" style="2016" customWidth="1"/>
    <col min="11522" max="11522" width="3" style="2016" customWidth="1"/>
    <col min="11523" max="11523" width="15.36328125" style="2016" customWidth="1"/>
    <col min="11524" max="11537" width="6.08984375" style="2016" customWidth="1"/>
    <col min="11538" max="11776" width="8.7265625" style="2016"/>
    <col min="11777" max="11777" width="5.6328125" style="2016" customWidth="1"/>
    <col min="11778" max="11778" width="3" style="2016" customWidth="1"/>
    <col min="11779" max="11779" width="15.36328125" style="2016" customWidth="1"/>
    <col min="11780" max="11793" width="6.08984375" style="2016" customWidth="1"/>
    <col min="11794" max="12032" width="8.7265625" style="2016"/>
    <col min="12033" max="12033" width="5.6328125" style="2016" customWidth="1"/>
    <col min="12034" max="12034" width="3" style="2016" customWidth="1"/>
    <col min="12035" max="12035" width="15.36328125" style="2016" customWidth="1"/>
    <col min="12036" max="12049" width="6.08984375" style="2016" customWidth="1"/>
    <col min="12050" max="12288" width="8.7265625" style="2016"/>
    <col min="12289" max="12289" width="5.6328125" style="2016" customWidth="1"/>
    <col min="12290" max="12290" width="3" style="2016" customWidth="1"/>
    <col min="12291" max="12291" width="15.36328125" style="2016" customWidth="1"/>
    <col min="12292" max="12305" width="6.08984375" style="2016" customWidth="1"/>
    <col min="12306" max="12544" width="8.7265625" style="2016"/>
    <col min="12545" max="12545" width="5.6328125" style="2016" customWidth="1"/>
    <col min="12546" max="12546" width="3" style="2016" customWidth="1"/>
    <col min="12547" max="12547" width="15.36328125" style="2016" customWidth="1"/>
    <col min="12548" max="12561" width="6.08984375" style="2016" customWidth="1"/>
    <col min="12562" max="12800" width="8.7265625" style="2016"/>
    <col min="12801" max="12801" width="5.6328125" style="2016" customWidth="1"/>
    <col min="12802" max="12802" width="3" style="2016" customWidth="1"/>
    <col min="12803" max="12803" width="15.36328125" style="2016" customWidth="1"/>
    <col min="12804" max="12817" width="6.08984375" style="2016" customWidth="1"/>
    <col min="12818" max="13056" width="8.7265625" style="2016"/>
    <col min="13057" max="13057" width="5.6328125" style="2016" customWidth="1"/>
    <col min="13058" max="13058" width="3" style="2016" customWidth="1"/>
    <col min="13059" max="13059" width="15.36328125" style="2016" customWidth="1"/>
    <col min="13060" max="13073" width="6.08984375" style="2016" customWidth="1"/>
    <col min="13074" max="13312" width="8.7265625" style="2016"/>
    <col min="13313" max="13313" width="5.6328125" style="2016" customWidth="1"/>
    <col min="13314" max="13314" width="3" style="2016" customWidth="1"/>
    <col min="13315" max="13315" width="15.36328125" style="2016" customWidth="1"/>
    <col min="13316" max="13329" width="6.08984375" style="2016" customWidth="1"/>
    <col min="13330" max="13568" width="8.7265625" style="2016"/>
    <col min="13569" max="13569" width="5.6328125" style="2016" customWidth="1"/>
    <col min="13570" max="13570" width="3" style="2016" customWidth="1"/>
    <col min="13571" max="13571" width="15.36328125" style="2016" customWidth="1"/>
    <col min="13572" max="13585" width="6.08984375" style="2016" customWidth="1"/>
    <col min="13586" max="13824" width="8.7265625" style="2016"/>
    <col min="13825" max="13825" width="5.6328125" style="2016" customWidth="1"/>
    <col min="13826" max="13826" width="3" style="2016" customWidth="1"/>
    <col min="13827" max="13827" width="15.36328125" style="2016" customWidth="1"/>
    <col min="13828" max="13841" width="6.08984375" style="2016" customWidth="1"/>
    <col min="13842" max="14080" width="8.7265625" style="2016"/>
    <col min="14081" max="14081" width="5.6328125" style="2016" customWidth="1"/>
    <col min="14082" max="14082" width="3" style="2016" customWidth="1"/>
    <col min="14083" max="14083" width="15.36328125" style="2016" customWidth="1"/>
    <col min="14084" max="14097" width="6.08984375" style="2016" customWidth="1"/>
    <col min="14098" max="14336" width="8.7265625" style="2016"/>
    <col min="14337" max="14337" width="5.6328125" style="2016" customWidth="1"/>
    <col min="14338" max="14338" width="3" style="2016" customWidth="1"/>
    <col min="14339" max="14339" width="15.36328125" style="2016" customWidth="1"/>
    <col min="14340" max="14353" width="6.08984375" style="2016" customWidth="1"/>
    <col min="14354" max="14592" width="8.7265625" style="2016"/>
    <col min="14593" max="14593" width="5.6328125" style="2016" customWidth="1"/>
    <col min="14594" max="14594" width="3" style="2016" customWidth="1"/>
    <col min="14595" max="14595" width="15.36328125" style="2016" customWidth="1"/>
    <col min="14596" max="14609" width="6.08984375" style="2016" customWidth="1"/>
    <col min="14610" max="14848" width="8.7265625" style="2016"/>
    <col min="14849" max="14849" width="5.6328125" style="2016" customWidth="1"/>
    <col min="14850" max="14850" width="3" style="2016" customWidth="1"/>
    <col min="14851" max="14851" width="15.36328125" style="2016" customWidth="1"/>
    <col min="14852" max="14865" width="6.08984375" style="2016" customWidth="1"/>
    <col min="14866" max="15104" width="8.7265625" style="2016"/>
    <col min="15105" max="15105" width="5.6328125" style="2016" customWidth="1"/>
    <col min="15106" max="15106" width="3" style="2016" customWidth="1"/>
    <col min="15107" max="15107" width="15.36328125" style="2016" customWidth="1"/>
    <col min="15108" max="15121" width="6.08984375" style="2016" customWidth="1"/>
    <col min="15122" max="15360" width="8.7265625" style="2016"/>
    <col min="15361" max="15361" width="5.6328125" style="2016" customWidth="1"/>
    <col min="15362" max="15362" width="3" style="2016" customWidth="1"/>
    <col min="15363" max="15363" width="15.36328125" style="2016" customWidth="1"/>
    <col min="15364" max="15377" width="6.08984375" style="2016" customWidth="1"/>
    <col min="15378" max="15616" width="8.7265625" style="2016"/>
    <col min="15617" max="15617" width="5.6328125" style="2016" customWidth="1"/>
    <col min="15618" max="15618" width="3" style="2016" customWidth="1"/>
    <col min="15619" max="15619" width="15.36328125" style="2016" customWidth="1"/>
    <col min="15620" max="15633" width="6.08984375" style="2016" customWidth="1"/>
    <col min="15634" max="15872" width="8.7265625" style="2016"/>
    <col min="15873" max="15873" width="5.6328125" style="2016" customWidth="1"/>
    <col min="15874" max="15874" width="3" style="2016" customWidth="1"/>
    <col min="15875" max="15875" width="15.36328125" style="2016" customWidth="1"/>
    <col min="15876" max="15889" width="6.08984375" style="2016" customWidth="1"/>
    <col min="15890" max="16128" width="8.7265625" style="2016"/>
    <col min="16129" max="16129" width="5.6328125" style="2016" customWidth="1"/>
    <col min="16130" max="16130" width="3" style="2016" customWidth="1"/>
    <col min="16131" max="16131" width="15.36328125" style="2016" customWidth="1"/>
    <col min="16132" max="16144" width="6.08984375" style="2016" customWidth="1"/>
    <col min="16145" max="16145" width="6.08984375" style="150" customWidth="1"/>
    <col min="16146" max="16384" width="8.7265625" style="150"/>
  </cols>
  <sheetData>
    <row r="1" spans="1:19" s="216" customFormat="1" ht="16.5">
      <c r="A1" s="216" t="s">
        <v>822</v>
      </c>
    </row>
    <row r="2" spans="1:19" ht="14.15" customHeight="1"/>
    <row r="3" spans="1:19" s="178" customFormat="1" ht="17.25" customHeight="1">
      <c r="A3" s="849" t="s">
        <v>581</v>
      </c>
      <c r="B3" s="849" t="s">
        <v>496</v>
      </c>
      <c r="C3" s="849" t="s">
        <v>497</v>
      </c>
      <c r="D3" s="849" t="s">
        <v>823</v>
      </c>
      <c r="E3" s="849"/>
      <c r="F3" s="849"/>
      <c r="G3" s="849"/>
      <c r="H3" s="849"/>
      <c r="I3" s="849"/>
      <c r="J3" s="849"/>
      <c r="K3" s="849"/>
      <c r="L3" s="849"/>
      <c r="M3" s="849"/>
      <c r="N3" s="849"/>
      <c r="O3" s="849"/>
      <c r="P3" s="849"/>
      <c r="Q3" s="849"/>
    </row>
    <row r="4" spans="1:19" s="178" customFormat="1" ht="34.5" customHeight="1">
      <c r="A4" s="849"/>
      <c r="B4" s="849"/>
      <c r="C4" s="849"/>
      <c r="D4" s="786" t="s">
        <v>824</v>
      </c>
      <c r="E4" s="786" t="s">
        <v>825</v>
      </c>
      <c r="F4" s="786" t="s">
        <v>826</v>
      </c>
      <c r="G4" s="786" t="s">
        <v>827</v>
      </c>
      <c r="H4" s="786" t="s">
        <v>828</v>
      </c>
      <c r="I4" s="786" t="s">
        <v>829</v>
      </c>
      <c r="J4" s="786" t="s">
        <v>830</v>
      </c>
      <c r="K4" s="786" t="s">
        <v>831</v>
      </c>
      <c r="L4" s="786" t="s">
        <v>832</v>
      </c>
      <c r="M4" s="786" t="s">
        <v>833</v>
      </c>
      <c r="N4" s="786" t="s">
        <v>834</v>
      </c>
      <c r="O4" s="786" t="s">
        <v>835</v>
      </c>
      <c r="P4" s="786" t="s">
        <v>816</v>
      </c>
      <c r="Q4" s="786" t="s">
        <v>527</v>
      </c>
    </row>
    <row r="5" spans="1:19" s="355" customFormat="1" ht="14.15" customHeight="1">
      <c r="A5" s="915" t="s">
        <v>507</v>
      </c>
      <c r="B5" s="339">
        <v>6</v>
      </c>
      <c r="C5" s="339" t="s">
        <v>687</v>
      </c>
      <c r="D5" s="231">
        <v>3006</v>
      </c>
      <c r="E5" s="231">
        <v>0</v>
      </c>
      <c r="F5" s="239">
        <v>462</v>
      </c>
      <c r="G5" s="231">
        <v>303</v>
      </c>
      <c r="H5" s="231">
        <v>0</v>
      </c>
      <c r="I5" s="231">
        <v>371</v>
      </c>
      <c r="J5" s="231">
        <v>201</v>
      </c>
      <c r="K5" s="231">
        <v>354</v>
      </c>
      <c r="L5" s="231">
        <v>0</v>
      </c>
      <c r="M5" s="231">
        <v>78</v>
      </c>
      <c r="N5" s="231">
        <v>70</v>
      </c>
      <c r="O5" s="231">
        <v>0</v>
      </c>
      <c r="P5" s="231">
        <v>0</v>
      </c>
      <c r="Q5" s="231">
        <f>D5+E5+F5+G5+H5+I5+J5+K5+L5+M5+N5+O5+P5</f>
        <v>4845</v>
      </c>
      <c r="R5" s="238"/>
    </row>
    <row r="6" spans="1:19" s="355" customFormat="1" ht="14.15" customHeight="1">
      <c r="A6" s="915"/>
      <c r="B6" s="340">
        <v>42</v>
      </c>
      <c r="C6" s="340" t="s">
        <v>690</v>
      </c>
      <c r="D6" s="239">
        <v>484</v>
      </c>
      <c r="E6" s="239">
        <v>0</v>
      </c>
      <c r="F6" s="239">
        <v>29</v>
      </c>
      <c r="G6" s="239">
        <v>11</v>
      </c>
      <c r="H6" s="239">
        <v>4</v>
      </c>
      <c r="I6" s="239">
        <v>3</v>
      </c>
      <c r="J6" s="239">
        <v>4</v>
      </c>
      <c r="K6" s="239">
        <v>22</v>
      </c>
      <c r="L6" s="239">
        <v>0</v>
      </c>
      <c r="M6" s="239">
        <v>0</v>
      </c>
      <c r="N6" s="239">
        <v>0</v>
      </c>
      <c r="O6" s="239">
        <v>0</v>
      </c>
      <c r="P6" s="239">
        <v>0</v>
      </c>
      <c r="Q6" s="239">
        <f t="shared" ref="Q6:Q8" si="0">D6+E6+F6+G6+H6+I6+J6+K6+L6+M6+N6+O6+P6</f>
        <v>557</v>
      </c>
      <c r="R6" s="238"/>
    </row>
    <row r="7" spans="1:19" s="355" customFormat="1" ht="14.15" customHeight="1">
      <c r="A7" s="915"/>
      <c r="B7" s="346">
        <v>90</v>
      </c>
      <c r="C7" s="346" t="s">
        <v>694</v>
      </c>
      <c r="D7" s="281">
        <v>419</v>
      </c>
      <c r="E7" s="281">
        <v>0</v>
      </c>
      <c r="F7" s="281">
        <v>273</v>
      </c>
      <c r="G7" s="281">
        <v>61</v>
      </c>
      <c r="H7" s="281">
        <v>34</v>
      </c>
      <c r="I7" s="281">
        <v>16</v>
      </c>
      <c r="J7" s="281">
        <v>19</v>
      </c>
      <c r="K7" s="281">
        <v>0</v>
      </c>
      <c r="L7" s="281">
        <v>0</v>
      </c>
      <c r="M7" s="281">
        <v>0</v>
      </c>
      <c r="N7" s="281">
        <v>0</v>
      </c>
      <c r="O7" s="281">
        <v>0</v>
      </c>
      <c r="P7" s="281">
        <v>0</v>
      </c>
      <c r="Q7" s="281">
        <f t="shared" si="0"/>
        <v>822</v>
      </c>
      <c r="R7" s="238"/>
    </row>
    <row r="8" spans="1:19" s="355" customFormat="1" ht="14.15" customHeight="1" thickBot="1">
      <c r="A8" s="915"/>
      <c r="B8" s="342">
        <v>37</v>
      </c>
      <c r="C8" s="342" t="s">
        <v>699</v>
      </c>
      <c r="D8" s="247">
        <v>4295</v>
      </c>
      <c r="E8" s="247">
        <v>0</v>
      </c>
      <c r="F8" s="247">
        <v>5270</v>
      </c>
      <c r="G8" s="247">
        <v>567</v>
      </c>
      <c r="H8" s="247">
        <v>305</v>
      </c>
      <c r="I8" s="247">
        <v>708</v>
      </c>
      <c r="J8" s="247">
        <v>851</v>
      </c>
      <c r="K8" s="247">
        <v>599</v>
      </c>
      <c r="L8" s="247">
        <v>163</v>
      </c>
      <c r="M8" s="247">
        <v>0</v>
      </c>
      <c r="N8" s="247">
        <v>0</v>
      </c>
      <c r="O8" s="247">
        <v>0</v>
      </c>
      <c r="P8" s="247">
        <v>0</v>
      </c>
      <c r="Q8" s="247">
        <f t="shared" si="0"/>
        <v>12758</v>
      </c>
      <c r="R8" s="238"/>
    </row>
    <row r="9" spans="1:19" s="238" customFormat="1" ht="14.15" customHeight="1" thickTop="1">
      <c r="A9" s="915"/>
      <c r="B9" s="252"/>
      <c r="C9" s="253" t="s">
        <v>34</v>
      </c>
      <c r="D9" s="259">
        <f t="shared" ref="D9:Q9" si="1">+SUM(D5:D8)</f>
        <v>8204</v>
      </c>
      <c r="E9" s="259">
        <f t="shared" si="1"/>
        <v>0</v>
      </c>
      <c r="F9" s="259">
        <f t="shared" si="1"/>
        <v>6034</v>
      </c>
      <c r="G9" s="259">
        <f t="shared" si="1"/>
        <v>942</v>
      </c>
      <c r="H9" s="259">
        <f t="shared" si="1"/>
        <v>343</v>
      </c>
      <c r="I9" s="259">
        <f t="shared" si="1"/>
        <v>1098</v>
      </c>
      <c r="J9" s="259">
        <f t="shared" si="1"/>
        <v>1075</v>
      </c>
      <c r="K9" s="259">
        <f t="shared" si="1"/>
        <v>975</v>
      </c>
      <c r="L9" s="259">
        <f t="shared" si="1"/>
        <v>163</v>
      </c>
      <c r="M9" s="259">
        <f t="shared" si="1"/>
        <v>78</v>
      </c>
      <c r="N9" s="259">
        <f t="shared" si="1"/>
        <v>70</v>
      </c>
      <c r="O9" s="259">
        <f t="shared" si="1"/>
        <v>0</v>
      </c>
      <c r="P9" s="259">
        <f t="shared" si="1"/>
        <v>0</v>
      </c>
      <c r="Q9" s="259">
        <f t="shared" si="1"/>
        <v>18982</v>
      </c>
    </row>
    <row r="10" spans="1:19" s="238" customFormat="1" ht="14.15" customHeight="1">
      <c r="A10" s="915"/>
      <c r="B10" s="263"/>
      <c r="C10" s="264"/>
      <c r="D10" s="270"/>
      <c r="E10" s="270"/>
      <c r="F10" s="270"/>
      <c r="G10" s="270"/>
      <c r="H10" s="270"/>
      <c r="I10" s="270"/>
      <c r="J10" s="270"/>
      <c r="K10" s="270"/>
      <c r="L10" s="270"/>
      <c r="M10" s="270"/>
      <c r="N10" s="270"/>
      <c r="O10" s="270"/>
      <c r="P10" s="270"/>
      <c r="Q10" s="270"/>
    </row>
    <row r="11" spans="1:19" s="355" customFormat="1" ht="14.15" customHeight="1" thickBot="1">
      <c r="A11" s="915" t="s">
        <v>704</v>
      </c>
      <c r="B11" s="339">
        <v>3</v>
      </c>
      <c r="C11" s="339" t="s">
        <v>705</v>
      </c>
      <c r="D11" s="231">
        <v>10233</v>
      </c>
      <c r="E11" s="231">
        <v>0</v>
      </c>
      <c r="F11" s="231">
        <v>842</v>
      </c>
      <c r="G11" s="231">
        <v>623</v>
      </c>
      <c r="H11" s="231">
        <v>257</v>
      </c>
      <c r="I11" s="231">
        <v>592</v>
      </c>
      <c r="J11" s="231">
        <v>733</v>
      </c>
      <c r="K11" s="231">
        <v>837</v>
      </c>
      <c r="L11" s="231">
        <v>180</v>
      </c>
      <c r="M11" s="231">
        <v>0</v>
      </c>
      <c r="N11" s="231">
        <v>18</v>
      </c>
      <c r="O11" s="231">
        <v>0</v>
      </c>
      <c r="P11" s="231">
        <v>5</v>
      </c>
      <c r="Q11" s="231">
        <f>D11+E11+F11+G11+H11+I11+J11+K11+L11+M11+N11+O11+P11</f>
        <v>14320</v>
      </c>
      <c r="R11" s="238"/>
      <c r="S11" s="238"/>
    </row>
    <row r="12" spans="1:19" s="238" customFormat="1" ht="14.15" customHeight="1" thickTop="1">
      <c r="A12" s="915"/>
      <c r="B12" s="252"/>
      <c r="C12" s="253" t="s">
        <v>34</v>
      </c>
      <c r="D12" s="259">
        <f t="shared" ref="D12:Q12" si="2">+SUM(D11:D11)</f>
        <v>10233</v>
      </c>
      <c r="E12" s="259">
        <f t="shared" si="2"/>
        <v>0</v>
      </c>
      <c r="F12" s="259">
        <f t="shared" si="2"/>
        <v>842</v>
      </c>
      <c r="G12" s="259">
        <f t="shared" si="2"/>
        <v>623</v>
      </c>
      <c r="H12" s="259">
        <f t="shared" si="2"/>
        <v>257</v>
      </c>
      <c r="I12" s="259">
        <f t="shared" si="2"/>
        <v>592</v>
      </c>
      <c r="J12" s="259">
        <f t="shared" si="2"/>
        <v>733</v>
      </c>
      <c r="K12" s="259">
        <f t="shared" si="2"/>
        <v>837</v>
      </c>
      <c r="L12" s="259">
        <f t="shared" si="2"/>
        <v>180</v>
      </c>
      <c r="M12" s="259">
        <f t="shared" si="2"/>
        <v>0</v>
      </c>
      <c r="N12" s="259">
        <f t="shared" si="2"/>
        <v>18</v>
      </c>
      <c r="O12" s="259">
        <f t="shared" si="2"/>
        <v>0</v>
      </c>
      <c r="P12" s="259">
        <f t="shared" si="2"/>
        <v>5</v>
      </c>
      <c r="Q12" s="259">
        <f t="shared" si="2"/>
        <v>14320</v>
      </c>
    </row>
    <row r="13" spans="1:19" s="238" customFormat="1" ht="14.15" customHeight="1">
      <c r="A13" s="915"/>
      <c r="B13" s="263"/>
      <c r="C13" s="264"/>
      <c r="D13" s="270"/>
      <c r="E13" s="270"/>
      <c r="F13" s="270"/>
      <c r="G13" s="270"/>
      <c r="H13" s="270"/>
      <c r="I13" s="270"/>
      <c r="J13" s="270"/>
      <c r="K13" s="270"/>
      <c r="L13" s="270"/>
      <c r="M13" s="270"/>
      <c r="N13" s="270"/>
      <c r="O13" s="270"/>
      <c r="P13" s="270"/>
      <c r="Q13" s="270"/>
    </row>
    <row r="14" spans="1:19" s="355" customFormat="1" ht="14.15" customHeight="1">
      <c r="A14" s="915" t="s">
        <v>711</v>
      </c>
      <c r="B14" s="339">
        <v>14</v>
      </c>
      <c r="C14" s="339" t="s">
        <v>712</v>
      </c>
      <c r="D14" s="231">
        <v>3994</v>
      </c>
      <c r="E14" s="231">
        <v>0</v>
      </c>
      <c r="F14" s="231">
        <v>201</v>
      </c>
      <c r="G14" s="231">
        <v>284</v>
      </c>
      <c r="H14" s="231">
        <v>0</v>
      </c>
      <c r="I14" s="231">
        <v>223</v>
      </c>
      <c r="J14" s="231">
        <v>367</v>
      </c>
      <c r="K14" s="231">
        <v>144</v>
      </c>
      <c r="L14" s="231">
        <v>0</v>
      </c>
      <c r="M14" s="231">
        <v>0</v>
      </c>
      <c r="N14" s="231">
        <v>0</v>
      </c>
      <c r="O14" s="231">
        <v>0</v>
      </c>
      <c r="P14" s="231">
        <v>0</v>
      </c>
      <c r="Q14" s="231">
        <f t="shared" ref="Q14:Q18" si="3">D14+E14+F14+G14+H14+I14+J14+K14+L14+M14+N14+O14+P14</f>
        <v>5213</v>
      </c>
      <c r="R14" s="238"/>
    </row>
    <row r="15" spans="1:19" s="355" customFormat="1" ht="14.15" customHeight="1">
      <c r="A15" s="915"/>
      <c r="B15" s="340">
        <v>45</v>
      </c>
      <c r="C15" s="340" t="s">
        <v>716</v>
      </c>
      <c r="D15" s="239">
        <v>4302</v>
      </c>
      <c r="E15" s="239">
        <v>0</v>
      </c>
      <c r="F15" s="239">
        <v>219</v>
      </c>
      <c r="G15" s="239">
        <v>310</v>
      </c>
      <c r="H15" s="239">
        <v>113</v>
      </c>
      <c r="I15" s="239">
        <v>348</v>
      </c>
      <c r="J15" s="239">
        <v>1477</v>
      </c>
      <c r="K15" s="239">
        <v>319</v>
      </c>
      <c r="L15" s="239">
        <v>0</v>
      </c>
      <c r="M15" s="239">
        <v>0</v>
      </c>
      <c r="N15" s="239">
        <v>0</v>
      </c>
      <c r="O15" s="239">
        <v>0</v>
      </c>
      <c r="P15" s="239">
        <v>0</v>
      </c>
      <c r="Q15" s="239">
        <f t="shared" si="3"/>
        <v>7088</v>
      </c>
      <c r="R15" s="238"/>
    </row>
    <row r="16" spans="1:19" s="355" customFormat="1" ht="14.15" customHeight="1">
      <c r="A16" s="915"/>
      <c r="B16" s="340">
        <v>17</v>
      </c>
      <c r="C16" s="340" t="s">
        <v>717</v>
      </c>
      <c r="D16" s="239">
        <v>1513</v>
      </c>
      <c r="E16" s="239">
        <v>0</v>
      </c>
      <c r="F16" s="239">
        <v>84</v>
      </c>
      <c r="G16" s="239">
        <v>154</v>
      </c>
      <c r="H16" s="239">
        <v>0</v>
      </c>
      <c r="I16" s="239">
        <v>185</v>
      </c>
      <c r="J16" s="239">
        <v>132</v>
      </c>
      <c r="K16" s="239">
        <v>52</v>
      </c>
      <c r="L16" s="239">
        <v>6</v>
      </c>
      <c r="M16" s="239">
        <v>0</v>
      </c>
      <c r="N16" s="239">
        <v>0</v>
      </c>
      <c r="O16" s="239">
        <v>0</v>
      </c>
      <c r="P16" s="239">
        <v>0</v>
      </c>
      <c r="Q16" s="239">
        <f t="shared" si="3"/>
        <v>2126</v>
      </c>
      <c r="R16" s="238"/>
    </row>
    <row r="17" spans="1:18" s="355" customFormat="1" ht="14.15" customHeight="1">
      <c r="A17" s="915"/>
      <c r="B17" s="340">
        <v>79</v>
      </c>
      <c r="C17" s="340" t="s">
        <v>723</v>
      </c>
      <c r="D17" s="239">
        <v>59</v>
      </c>
      <c r="E17" s="239">
        <v>0</v>
      </c>
      <c r="F17" s="239">
        <v>50</v>
      </c>
      <c r="G17" s="239">
        <v>3</v>
      </c>
      <c r="H17" s="239">
        <v>5</v>
      </c>
      <c r="I17" s="239">
        <v>14</v>
      </c>
      <c r="J17" s="239">
        <v>14</v>
      </c>
      <c r="K17" s="239">
        <v>7</v>
      </c>
      <c r="L17" s="239">
        <v>12</v>
      </c>
      <c r="M17" s="239">
        <v>0</v>
      </c>
      <c r="N17" s="239">
        <v>0</v>
      </c>
      <c r="O17" s="239">
        <v>0</v>
      </c>
      <c r="P17" s="239">
        <v>0</v>
      </c>
      <c r="Q17" s="239">
        <f t="shared" si="3"/>
        <v>164</v>
      </c>
      <c r="R17" s="238"/>
    </row>
    <row r="18" spans="1:18" s="355" customFormat="1" ht="14.15" customHeight="1" thickBot="1">
      <c r="A18" s="915"/>
      <c r="B18" s="342">
        <v>80</v>
      </c>
      <c r="C18" s="342" t="s">
        <v>724</v>
      </c>
      <c r="D18" s="247">
        <v>0</v>
      </c>
      <c r="E18" s="247">
        <v>0</v>
      </c>
      <c r="F18" s="247">
        <v>66</v>
      </c>
      <c r="G18" s="247">
        <v>2</v>
      </c>
      <c r="H18" s="247">
        <v>3</v>
      </c>
      <c r="I18" s="247">
        <v>5</v>
      </c>
      <c r="J18" s="247">
        <v>26</v>
      </c>
      <c r="K18" s="247">
        <v>36</v>
      </c>
      <c r="L18" s="247">
        <v>20</v>
      </c>
      <c r="M18" s="247">
        <v>0</v>
      </c>
      <c r="N18" s="247">
        <v>0</v>
      </c>
      <c r="O18" s="247">
        <v>0</v>
      </c>
      <c r="P18" s="247">
        <v>0</v>
      </c>
      <c r="Q18" s="247">
        <f t="shared" si="3"/>
        <v>158</v>
      </c>
      <c r="R18" s="238"/>
    </row>
    <row r="19" spans="1:18" s="238" customFormat="1" ht="14.15" customHeight="1" thickTop="1">
      <c r="A19" s="915"/>
      <c r="B19" s="252"/>
      <c r="C19" s="253" t="s">
        <v>34</v>
      </c>
      <c r="D19" s="259">
        <f t="shared" ref="D19:Q19" si="4">+SUM(D14:D18)</f>
        <v>9868</v>
      </c>
      <c r="E19" s="259">
        <f t="shared" si="4"/>
        <v>0</v>
      </c>
      <c r="F19" s="259">
        <f t="shared" si="4"/>
        <v>620</v>
      </c>
      <c r="G19" s="259">
        <f t="shared" si="4"/>
        <v>753</v>
      </c>
      <c r="H19" s="259">
        <f t="shared" si="4"/>
        <v>121</v>
      </c>
      <c r="I19" s="259">
        <f t="shared" si="4"/>
        <v>775</v>
      </c>
      <c r="J19" s="259">
        <f t="shared" si="4"/>
        <v>2016</v>
      </c>
      <c r="K19" s="259">
        <f t="shared" si="4"/>
        <v>558</v>
      </c>
      <c r="L19" s="259">
        <f t="shared" si="4"/>
        <v>38</v>
      </c>
      <c r="M19" s="259">
        <f t="shared" si="4"/>
        <v>0</v>
      </c>
      <c r="N19" s="259">
        <f t="shared" si="4"/>
        <v>0</v>
      </c>
      <c r="O19" s="259">
        <f t="shared" si="4"/>
        <v>0</v>
      </c>
      <c r="P19" s="259">
        <f t="shared" si="4"/>
        <v>0</v>
      </c>
      <c r="Q19" s="259">
        <f t="shared" si="4"/>
        <v>14749</v>
      </c>
    </row>
    <row r="20" spans="1:18" s="238" customFormat="1" ht="14.15" customHeight="1">
      <c r="A20" s="915"/>
      <c r="B20" s="263"/>
      <c r="C20" s="264"/>
      <c r="D20" s="270"/>
      <c r="E20" s="270"/>
      <c r="F20" s="270"/>
      <c r="G20" s="270"/>
      <c r="H20" s="270"/>
      <c r="I20" s="270"/>
      <c r="J20" s="270"/>
      <c r="K20" s="270"/>
      <c r="L20" s="270"/>
      <c r="M20" s="270"/>
      <c r="N20" s="270"/>
      <c r="O20" s="270"/>
      <c r="P20" s="270"/>
      <c r="Q20" s="270"/>
    </row>
    <row r="21" spans="1:18" s="355" customFormat="1" ht="14.15" customHeight="1">
      <c r="A21" s="915" t="s">
        <v>512</v>
      </c>
      <c r="B21" s="339">
        <v>35</v>
      </c>
      <c r="C21" s="339" t="s">
        <v>726</v>
      </c>
      <c r="D21" s="231">
        <v>5051</v>
      </c>
      <c r="E21" s="231">
        <v>0</v>
      </c>
      <c r="F21" s="231">
        <v>212</v>
      </c>
      <c r="G21" s="231">
        <v>191</v>
      </c>
      <c r="H21" s="231">
        <v>82</v>
      </c>
      <c r="I21" s="231">
        <v>388</v>
      </c>
      <c r="J21" s="231">
        <v>266</v>
      </c>
      <c r="K21" s="231">
        <v>271</v>
      </c>
      <c r="L21" s="231">
        <v>99</v>
      </c>
      <c r="M21" s="231">
        <v>0</v>
      </c>
      <c r="N21" s="231">
        <v>0</v>
      </c>
      <c r="O21" s="231">
        <v>0</v>
      </c>
      <c r="P21" s="231">
        <v>0</v>
      </c>
      <c r="Q21" s="231">
        <f t="shared" ref="Q21:Q27" si="5">D21+E21+F21+G21+H21+I21+J21+K21+L21+M21+N21+O21+P21</f>
        <v>6560</v>
      </c>
      <c r="R21" s="238"/>
    </row>
    <row r="22" spans="1:18" s="355" customFormat="1" ht="14.15" customHeight="1">
      <c r="A22" s="915"/>
      <c r="B22" s="340">
        <v>29</v>
      </c>
      <c r="C22" s="340" t="s">
        <v>727</v>
      </c>
      <c r="D22" s="239">
        <v>2582</v>
      </c>
      <c r="E22" s="239">
        <v>0</v>
      </c>
      <c r="F22" s="239">
        <v>106</v>
      </c>
      <c r="G22" s="239">
        <v>241</v>
      </c>
      <c r="H22" s="239">
        <v>0</v>
      </c>
      <c r="I22" s="239">
        <v>201</v>
      </c>
      <c r="J22" s="239">
        <v>205</v>
      </c>
      <c r="K22" s="239">
        <v>142</v>
      </c>
      <c r="L22" s="239">
        <v>23</v>
      </c>
      <c r="M22" s="239">
        <v>0</v>
      </c>
      <c r="N22" s="239">
        <v>0</v>
      </c>
      <c r="O22" s="239">
        <v>0</v>
      </c>
      <c r="P22" s="239">
        <v>0</v>
      </c>
      <c r="Q22" s="239">
        <f t="shared" si="5"/>
        <v>3500</v>
      </c>
      <c r="R22" s="238"/>
    </row>
    <row r="23" spans="1:18" s="355" customFormat="1" ht="14.15" customHeight="1">
      <c r="A23" s="915"/>
      <c r="B23" s="340">
        <v>25</v>
      </c>
      <c r="C23" s="340" t="s">
        <v>728</v>
      </c>
      <c r="D23" s="239">
        <v>1481</v>
      </c>
      <c r="E23" s="239">
        <v>0</v>
      </c>
      <c r="F23" s="239">
        <v>65</v>
      </c>
      <c r="G23" s="239">
        <v>66</v>
      </c>
      <c r="H23" s="239">
        <v>28</v>
      </c>
      <c r="I23" s="239">
        <v>77</v>
      </c>
      <c r="J23" s="239">
        <v>101</v>
      </c>
      <c r="K23" s="239">
        <v>88</v>
      </c>
      <c r="L23" s="239">
        <v>20</v>
      </c>
      <c r="M23" s="239">
        <v>0</v>
      </c>
      <c r="N23" s="239">
        <v>0</v>
      </c>
      <c r="O23" s="239">
        <v>0</v>
      </c>
      <c r="P23" s="239">
        <v>0</v>
      </c>
      <c r="Q23" s="239">
        <f t="shared" si="5"/>
        <v>1926</v>
      </c>
      <c r="R23" s="238"/>
    </row>
    <row r="24" spans="1:18" s="355" customFormat="1" ht="14.15" customHeight="1">
      <c r="A24" s="915"/>
      <c r="B24" s="340">
        <v>66</v>
      </c>
      <c r="C24" s="340" t="s">
        <v>732</v>
      </c>
      <c r="D24" s="239">
        <v>743</v>
      </c>
      <c r="E24" s="239">
        <v>0</v>
      </c>
      <c r="F24" s="239">
        <v>45</v>
      </c>
      <c r="G24" s="239">
        <v>32</v>
      </c>
      <c r="H24" s="239">
        <v>27</v>
      </c>
      <c r="I24" s="239">
        <v>16</v>
      </c>
      <c r="J24" s="239">
        <v>42</v>
      </c>
      <c r="K24" s="239">
        <v>5</v>
      </c>
      <c r="L24" s="239">
        <v>0</v>
      </c>
      <c r="M24" s="239">
        <v>0</v>
      </c>
      <c r="N24" s="239">
        <v>0</v>
      </c>
      <c r="O24" s="239">
        <v>0</v>
      </c>
      <c r="P24" s="239">
        <v>0</v>
      </c>
      <c r="Q24" s="239">
        <f t="shared" si="5"/>
        <v>910</v>
      </c>
      <c r="R24" s="238"/>
    </row>
    <row r="25" spans="1:18" s="355" customFormat="1" ht="14.15" customHeight="1">
      <c r="A25" s="915"/>
      <c r="B25" s="340">
        <v>64</v>
      </c>
      <c r="C25" s="340" t="s">
        <v>734</v>
      </c>
      <c r="D25" s="239">
        <v>1075</v>
      </c>
      <c r="E25" s="239">
        <v>0</v>
      </c>
      <c r="F25" s="239">
        <v>43</v>
      </c>
      <c r="G25" s="239">
        <v>66</v>
      </c>
      <c r="H25" s="239">
        <v>53</v>
      </c>
      <c r="I25" s="239">
        <v>57</v>
      </c>
      <c r="J25" s="239">
        <v>52</v>
      </c>
      <c r="K25" s="239">
        <v>33</v>
      </c>
      <c r="L25" s="239">
        <v>4</v>
      </c>
      <c r="M25" s="239">
        <v>0</v>
      </c>
      <c r="N25" s="239">
        <v>0</v>
      </c>
      <c r="O25" s="239">
        <v>0</v>
      </c>
      <c r="P25" s="239">
        <v>0</v>
      </c>
      <c r="Q25" s="239">
        <f t="shared" si="5"/>
        <v>1383</v>
      </c>
      <c r="R25" s="238"/>
    </row>
    <row r="26" spans="1:18" s="355" customFormat="1" ht="14.15" customHeight="1">
      <c r="A26" s="915"/>
      <c r="B26" s="340">
        <v>88</v>
      </c>
      <c r="C26" s="340" t="s">
        <v>735</v>
      </c>
      <c r="D26" s="239">
        <v>388</v>
      </c>
      <c r="E26" s="239">
        <v>0</v>
      </c>
      <c r="F26" s="239">
        <v>7</v>
      </c>
      <c r="G26" s="239">
        <v>8</v>
      </c>
      <c r="H26" s="239">
        <v>15</v>
      </c>
      <c r="I26" s="239">
        <v>22</v>
      </c>
      <c r="J26" s="239">
        <v>6</v>
      </c>
      <c r="K26" s="239">
        <v>0</v>
      </c>
      <c r="L26" s="239">
        <v>0</v>
      </c>
      <c r="M26" s="239">
        <v>0</v>
      </c>
      <c r="N26" s="239">
        <v>0</v>
      </c>
      <c r="O26" s="239">
        <v>0</v>
      </c>
      <c r="P26" s="239">
        <v>0</v>
      </c>
      <c r="Q26" s="239">
        <f t="shared" si="5"/>
        <v>446</v>
      </c>
      <c r="R26" s="238"/>
    </row>
    <row r="27" spans="1:18" s="355" customFormat="1" ht="14.15" customHeight="1" thickBot="1">
      <c r="A27" s="915"/>
      <c r="B27" s="342">
        <v>52</v>
      </c>
      <c r="C27" s="342" t="s">
        <v>736</v>
      </c>
      <c r="D27" s="247">
        <v>703</v>
      </c>
      <c r="E27" s="247">
        <v>0</v>
      </c>
      <c r="F27" s="247">
        <v>41</v>
      </c>
      <c r="G27" s="247">
        <v>24</v>
      </c>
      <c r="H27" s="247">
        <v>15</v>
      </c>
      <c r="I27" s="247">
        <v>41</v>
      </c>
      <c r="J27" s="247">
        <v>21</v>
      </c>
      <c r="K27" s="247">
        <v>10</v>
      </c>
      <c r="L27" s="247">
        <v>0</v>
      </c>
      <c r="M27" s="247">
        <v>0</v>
      </c>
      <c r="N27" s="247">
        <v>0</v>
      </c>
      <c r="O27" s="247">
        <v>0</v>
      </c>
      <c r="P27" s="247">
        <v>0</v>
      </c>
      <c r="Q27" s="247">
        <f t="shared" si="5"/>
        <v>855</v>
      </c>
      <c r="R27" s="238"/>
    </row>
    <row r="28" spans="1:18" s="238" customFormat="1" ht="14.15" customHeight="1" thickTop="1">
      <c r="A28" s="915"/>
      <c r="B28" s="252"/>
      <c r="C28" s="253" t="s">
        <v>34</v>
      </c>
      <c r="D28" s="259">
        <f t="shared" ref="D28:Q28" si="6">+SUM(D21:D27)</f>
        <v>12023</v>
      </c>
      <c r="E28" s="259">
        <f t="shared" si="6"/>
        <v>0</v>
      </c>
      <c r="F28" s="259">
        <f t="shared" si="6"/>
        <v>519</v>
      </c>
      <c r="G28" s="259">
        <f t="shared" si="6"/>
        <v>628</v>
      </c>
      <c r="H28" s="259">
        <f t="shared" si="6"/>
        <v>220</v>
      </c>
      <c r="I28" s="259">
        <f t="shared" si="6"/>
        <v>802</v>
      </c>
      <c r="J28" s="259">
        <f t="shared" si="6"/>
        <v>693</v>
      </c>
      <c r="K28" s="259">
        <f t="shared" si="6"/>
        <v>549</v>
      </c>
      <c r="L28" s="259">
        <f t="shared" si="6"/>
        <v>146</v>
      </c>
      <c r="M28" s="259">
        <f t="shared" si="6"/>
        <v>0</v>
      </c>
      <c r="N28" s="259">
        <f t="shared" si="6"/>
        <v>0</v>
      </c>
      <c r="O28" s="259">
        <f t="shared" si="6"/>
        <v>0</v>
      </c>
      <c r="P28" s="259">
        <f t="shared" si="6"/>
        <v>0</v>
      </c>
      <c r="Q28" s="259">
        <f t="shared" si="6"/>
        <v>15580</v>
      </c>
    </row>
    <row r="29" spans="1:18" s="238" customFormat="1" ht="14.15" customHeight="1">
      <c r="A29" s="915"/>
      <c r="B29" s="263"/>
      <c r="C29" s="264"/>
      <c r="D29" s="270"/>
      <c r="E29" s="270"/>
      <c r="F29" s="270"/>
      <c r="G29" s="270"/>
      <c r="H29" s="270"/>
      <c r="I29" s="270"/>
      <c r="J29" s="270"/>
      <c r="K29" s="270"/>
      <c r="L29" s="270"/>
      <c r="M29" s="270"/>
      <c r="N29" s="270"/>
      <c r="O29" s="270"/>
      <c r="P29" s="270"/>
      <c r="Q29" s="270"/>
    </row>
    <row r="30" spans="1:18" s="355" customFormat="1" ht="14.15" customHeight="1">
      <c r="A30" s="915" t="s">
        <v>737</v>
      </c>
      <c r="B30" s="339">
        <v>70</v>
      </c>
      <c r="C30" s="339" t="s">
        <v>738</v>
      </c>
      <c r="D30" s="231">
        <v>7253</v>
      </c>
      <c r="E30" s="231">
        <v>0</v>
      </c>
      <c r="F30" s="231">
        <v>520</v>
      </c>
      <c r="G30" s="231">
        <v>391</v>
      </c>
      <c r="H30" s="231">
        <v>0</v>
      </c>
      <c r="I30" s="231">
        <v>571</v>
      </c>
      <c r="J30" s="231">
        <v>336</v>
      </c>
      <c r="K30" s="231">
        <v>234</v>
      </c>
      <c r="L30" s="231">
        <v>6</v>
      </c>
      <c r="M30" s="231">
        <v>0</v>
      </c>
      <c r="N30" s="231">
        <v>0</v>
      </c>
      <c r="O30" s="231">
        <v>0</v>
      </c>
      <c r="P30" s="231">
        <v>0</v>
      </c>
      <c r="Q30" s="231">
        <f t="shared" ref="Q30:Q34" si="7">D30+E30+F30+G30+H30+I30+J30+K30+L30+M30+N30+O30+P30</f>
        <v>9311</v>
      </c>
      <c r="R30" s="238"/>
    </row>
    <row r="31" spans="1:18" s="355" customFormat="1" ht="14.15" customHeight="1">
      <c r="A31" s="915"/>
      <c r="B31" s="341">
        <v>76</v>
      </c>
      <c r="C31" s="341" t="s">
        <v>740</v>
      </c>
      <c r="D31" s="293">
        <v>814</v>
      </c>
      <c r="E31" s="293">
        <v>0</v>
      </c>
      <c r="F31" s="293">
        <v>26</v>
      </c>
      <c r="G31" s="293">
        <v>20</v>
      </c>
      <c r="H31" s="293">
        <v>0</v>
      </c>
      <c r="I31" s="293">
        <v>61</v>
      </c>
      <c r="J31" s="293">
        <v>49</v>
      </c>
      <c r="K31" s="293">
        <v>0</v>
      </c>
      <c r="L31" s="293">
        <v>4</v>
      </c>
      <c r="M31" s="293">
        <v>0</v>
      </c>
      <c r="N31" s="293">
        <v>0</v>
      </c>
      <c r="O31" s="293">
        <v>0</v>
      </c>
      <c r="P31" s="293">
        <v>0</v>
      </c>
      <c r="Q31" s="293">
        <f t="shared" si="7"/>
        <v>974</v>
      </c>
      <c r="R31" s="238"/>
    </row>
    <row r="32" spans="1:18" s="355" customFormat="1" ht="14.15" customHeight="1">
      <c r="A32" s="915"/>
      <c r="B32" s="341">
        <v>93</v>
      </c>
      <c r="C32" s="341" t="s">
        <v>836</v>
      </c>
      <c r="D32" s="293">
        <v>436</v>
      </c>
      <c r="E32" s="293">
        <v>0</v>
      </c>
      <c r="F32" s="293">
        <v>26</v>
      </c>
      <c r="G32" s="293">
        <v>45</v>
      </c>
      <c r="H32" s="293">
        <v>73</v>
      </c>
      <c r="I32" s="293">
        <v>79</v>
      </c>
      <c r="J32" s="293">
        <v>121</v>
      </c>
      <c r="K32" s="293">
        <v>43</v>
      </c>
      <c r="L32" s="293">
        <v>0</v>
      </c>
      <c r="M32" s="293">
        <v>0</v>
      </c>
      <c r="N32" s="293">
        <v>0</v>
      </c>
      <c r="O32" s="293">
        <v>0</v>
      </c>
      <c r="P32" s="293">
        <v>0</v>
      </c>
      <c r="Q32" s="293">
        <f t="shared" si="7"/>
        <v>823</v>
      </c>
      <c r="R32" s="238"/>
    </row>
    <row r="33" spans="1:18" s="355" customFormat="1" ht="14.15" customHeight="1">
      <c r="A33" s="915"/>
      <c r="B33" s="360">
        <v>94</v>
      </c>
      <c r="C33" s="360" t="s">
        <v>837</v>
      </c>
      <c r="D33" s="292">
        <v>458</v>
      </c>
      <c r="E33" s="292">
        <v>0</v>
      </c>
      <c r="F33" s="292">
        <v>7</v>
      </c>
      <c r="G33" s="292">
        <v>36</v>
      </c>
      <c r="H33" s="292">
        <v>1</v>
      </c>
      <c r="I33" s="292">
        <v>18</v>
      </c>
      <c r="J33" s="292">
        <v>29</v>
      </c>
      <c r="K33" s="292">
        <v>0</v>
      </c>
      <c r="L33" s="292">
        <v>0</v>
      </c>
      <c r="M33" s="292">
        <v>0</v>
      </c>
      <c r="N33" s="292">
        <v>0</v>
      </c>
      <c r="O33" s="292">
        <v>0</v>
      </c>
      <c r="P33" s="292">
        <v>2</v>
      </c>
      <c r="Q33" s="292">
        <f t="shared" si="7"/>
        <v>551</v>
      </c>
      <c r="R33" s="238"/>
    </row>
    <row r="34" spans="1:18" s="355" customFormat="1" ht="14.15" customHeight="1" thickBot="1">
      <c r="A34" s="915"/>
      <c r="B34" s="342">
        <v>91</v>
      </c>
      <c r="C34" s="342" t="s">
        <v>801</v>
      </c>
      <c r="D34" s="247">
        <v>532</v>
      </c>
      <c r="E34" s="247">
        <v>0</v>
      </c>
      <c r="F34" s="247">
        <v>7</v>
      </c>
      <c r="G34" s="247">
        <v>14</v>
      </c>
      <c r="H34" s="247">
        <v>21</v>
      </c>
      <c r="I34" s="247">
        <v>9</v>
      </c>
      <c r="J34" s="247">
        <v>37</v>
      </c>
      <c r="K34" s="247">
        <v>0</v>
      </c>
      <c r="L34" s="247">
        <v>0</v>
      </c>
      <c r="M34" s="247">
        <v>0</v>
      </c>
      <c r="N34" s="247">
        <v>0</v>
      </c>
      <c r="O34" s="247">
        <v>0</v>
      </c>
      <c r="P34" s="247">
        <v>0</v>
      </c>
      <c r="Q34" s="247">
        <f t="shared" si="7"/>
        <v>620</v>
      </c>
      <c r="R34" s="238"/>
    </row>
    <row r="35" spans="1:18" ht="14.15" customHeight="1" thickTop="1">
      <c r="A35" s="915"/>
      <c r="B35" s="252"/>
      <c r="C35" s="253" t="s">
        <v>34</v>
      </c>
      <c r="D35" s="259">
        <f t="shared" ref="D35" si="8">+SUM(D30:D34)</f>
        <v>9493</v>
      </c>
      <c r="E35" s="259">
        <f>+SUM(E30:E34)</f>
        <v>0</v>
      </c>
      <c r="F35" s="259">
        <f t="shared" ref="F35:Q35" si="9">+SUM(F30:F34)</f>
        <v>586</v>
      </c>
      <c r="G35" s="259">
        <f t="shared" si="9"/>
        <v>506</v>
      </c>
      <c r="H35" s="259">
        <f t="shared" si="9"/>
        <v>95</v>
      </c>
      <c r="I35" s="259">
        <f t="shared" si="9"/>
        <v>738</v>
      </c>
      <c r="J35" s="259">
        <f t="shared" si="9"/>
        <v>572</v>
      </c>
      <c r="K35" s="259">
        <f t="shared" si="9"/>
        <v>277</v>
      </c>
      <c r="L35" s="259">
        <f t="shared" si="9"/>
        <v>10</v>
      </c>
      <c r="M35" s="259">
        <f t="shared" si="9"/>
        <v>0</v>
      </c>
      <c r="N35" s="259">
        <f t="shared" si="9"/>
        <v>0</v>
      </c>
      <c r="O35" s="259">
        <f t="shared" si="9"/>
        <v>0</v>
      </c>
      <c r="P35" s="259">
        <f t="shared" si="9"/>
        <v>2</v>
      </c>
      <c r="Q35" s="259">
        <f t="shared" si="9"/>
        <v>12279</v>
      </c>
    </row>
    <row r="36" spans="1:18" s="238" customFormat="1" ht="14.15" customHeight="1">
      <c r="A36" s="915"/>
      <c r="B36" s="263"/>
      <c r="C36" s="264"/>
      <c r="D36" s="270"/>
      <c r="E36" s="270"/>
      <c r="F36" s="270"/>
      <c r="G36" s="270"/>
      <c r="H36" s="270"/>
      <c r="I36" s="270"/>
      <c r="J36" s="270"/>
      <c r="K36" s="270"/>
      <c r="L36" s="270"/>
      <c r="M36" s="270"/>
      <c r="N36" s="270"/>
      <c r="O36" s="270"/>
      <c r="P36" s="270"/>
      <c r="Q36" s="270"/>
    </row>
    <row r="37" spans="1:18" s="355" customFormat="1" ht="14.15" customHeight="1">
      <c r="A37" s="912" t="s">
        <v>516</v>
      </c>
      <c r="B37" s="339">
        <v>4</v>
      </c>
      <c r="C37" s="339" t="s">
        <v>802</v>
      </c>
      <c r="D37" s="231">
        <v>16264</v>
      </c>
      <c r="E37" s="231">
        <v>0</v>
      </c>
      <c r="F37" s="231">
        <v>1540</v>
      </c>
      <c r="G37" s="231">
        <v>996</v>
      </c>
      <c r="H37" s="231">
        <v>431</v>
      </c>
      <c r="I37" s="231">
        <v>844</v>
      </c>
      <c r="J37" s="231">
        <v>1053</v>
      </c>
      <c r="K37" s="231">
        <v>808</v>
      </c>
      <c r="L37" s="231">
        <v>345</v>
      </c>
      <c r="M37" s="231">
        <v>0</v>
      </c>
      <c r="N37" s="231">
        <v>13</v>
      </c>
      <c r="O37" s="231">
        <v>0</v>
      </c>
      <c r="P37" s="231">
        <v>0</v>
      </c>
      <c r="Q37" s="231">
        <f t="shared" ref="Q37:Q41" si="10">D37+E37+F37+G37+H37+I37+J37+K37+L37+M37+N37+O37+P37</f>
        <v>22294</v>
      </c>
      <c r="R37" s="238"/>
    </row>
    <row r="38" spans="1:18" s="355" customFormat="1" ht="14.15" customHeight="1">
      <c r="A38" s="912"/>
      <c r="B38" s="340">
        <v>19</v>
      </c>
      <c r="C38" s="340" t="s">
        <v>803</v>
      </c>
      <c r="D38" s="239">
        <v>1226</v>
      </c>
      <c r="E38" s="239">
        <v>0</v>
      </c>
      <c r="F38" s="239">
        <v>27</v>
      </c>
      <c r="G38" s="239">
        <v>61</v>
      </c>
      <c r="H38" s="239">
        <v>34</v>
      </c>
      <c r="I38" s="239">
        <v>24</v>
      </c>
      <c r="J38" s="239">
        <v>94</v>
      </c>
      <c r="K38" s="239">
        <v>22</v>
      </c>
      <c r="L38" s="239">
        <v>0</v>
      </c>
      <c r="M38" s="239">
        <v>0</v>
      </c>
      <c r="N38" s="239">
        <v>0</v>
      </c>
      <c r="O38" s="239">
        <v>0</v>
      </c>
      <c r="P38" s="239">
        <v>0</v>
      </c>
      <c r="Q38" s="239">
        <f t="shared" si="10"/>
        <v>1488</v>
      </c>
      <c r="R38" s="238"/>
    </row>
    <row r="39" spans="1:18" s="355" customFormat="1" ht="14.15" customHeight="1">
      <c r="A39" s="912"/>
      <c r="B39" s="340">
        <v>41</v>
      </c>
      <c r="C39" s="340" t="s">
        <v>804</v>
      </c>
      <c r="D39" s="239">
        <v>1026</v>
      </c>
      <c r="E39" s="239">
        <v>0</v>
      </c>
      <c r="F39" s="239">
        <v>87</v>
      </c>
      <c r="G39" s="239">
        <v>76</v>
      </c>
      <c r="H39" s="239">
        <v>29</v>
      </c>
      <c r="I39" s="239">
        <v>52</v>
      </c>
      <c r="J39" s="239">
        <v>83</v>
      </c>
      <c r="K39" s="239">
        <v>36</v>
      </c>
      <c r="L39" s="239">
        <v>0</v>
      </c>
      <c r="M39" s="239">
        <v>0</v>
      </c>
      <c r="N39" s="239">
        <v>0</v>
      </c>
      <c r="O39" s="239">
        <v>0</v>
      </c>
      <c r="P39" s="239">
        <v>0</v>
      </c>
      <c r="Q39" s="239">
        <f t="shared" si="10"/>
        <v>1389</v>
      </c>
      <c r="R39" s="238"/>
    </row>
    <row r="40" spans="1:18" s="355" customFormat="1" ht="14.15" customHeight="1">
      <c r="A40" s="912"/>
      <c r="B40" s="346">
        <v>47</v>
      </c>
      <c r="C40" s="346" t="s">
        <v>805</v>
      </c>
      <c r="D40" s="281">
        <v>320</v>
      </c>
      <c r="E40" s="281">
        <v>0</v>
      </c>
      <c r="F40" s="281">
        <v>12</v>
      </c>
      <c r="G40" s="281">
        <v>10</v>
      </c>
      <c r="H40" s="281">
        <v>3</v>
      </c>
      <c r="I40" s="281">
        <v>3</v>
      </c>
      <c r="J40" s="281">
        <v>35</v>
      </c>
      <c r="K40" s="281">
        <v>3</v>
      </c>
      <c r="L40" s="281">
        <v>0</v>
      </c>
      <c r="M40" s="281">
        <v>0</v>
      </c>
      <c r="N40" s="281">
        <v>0</v>
      </c>
      <c r="O40" s="281">
        <v>0</v>
      </c>
      <c r="P40" s="281">
        <v>0</v>
      </c>
      <c r="Q40" s="281">
        <f t="shared" si="10"/>
        <v>386</v>
      </c>
      <c r="R40" s="238"/>
    </row>
    <row r="41" spans="1:18" s="355" customFormat="1" ht="14.15" customHeight="1" thickBot="1">
      <c r="A41" s="912"/>
      <c r="B41" s="342">
        <v>46</v>
      </c>
      <c r="C41" s="342" t="s">
        <v>752</v>
      </c>
      <c r="D41" s="247">
        <v>5137</v>
      </c>
      <c r="E41" s="247">
        <v>0</v>
      </c>
      <c r="F41" s="247">
        <v>499</v>
      </c>
      <c r="G41" s="247">
        <v>221</v>
      </c>
      <c r="H41" s="247">
        <v>155</v>
      </c>
      <c r="I41" s="247">
        <v>249</v>
      </c>
      <c r="J41" s="247">
        <v>472</v>
      </c>
      <c r="K41" s="247">
        <v>352</v>
      </c>
      <c r="L41" s="247">
        <v>288</v>
      </c>
      <c r="M41" s="247">
        <v>0</v>
      </c>
      <c r="N41" s="247">
        <v>0</v>
      </c>
      <c r="O41" s="247">
        <v>0</v>
      </c>
      <c r="P41" s="247">
        <v>18</v>
      </c>
      <c r="Q41" s="247">
        <f t="shared" si="10"/>
        <v>7391</v>
      </c>
      <c r="R41" s="238"/>
    </row>
    <row r="42" spans="1:18" ht="14.15" customHeight="1" thickTop="1">
      <c r="A42" s="912"/>
      <c r="B42" s="252"/>
      <c r="C42" s="253" t="s">
        <v>34</v>
      </c>
      <c r="D42" s="259">
        <f t="shared" ref="D42:Q42" si="11">+SUM(D37:D41)</f>
        <v>23973</v>
      </c>
      <c r="E42" s="259">
        <f t="shared" si="11"/>
        <v>0</v>
      </c>
      <c r="F42" s="259">
        <f t="shared" si="11"/>
        <v>2165</v>
      </c>
      <c r="G42" s="259">
        <f t="shared" si="11"/>
        <v>1364</v>
      </c>
      <c r="H42" s="259">
        <f t="shared" si="11"/>
        <v>652</v>
      </c>
      <c r="I42" s="259">
        <f t="shared" si="11"/>
        <v>1172</v>
      </c>
      <c r="J42" s="259">
        <f t="shared" si="11"/>
        <v>1737</v>
      </c>
      <c r="K42" s="259">
        <f t="shared" si="11"/>
        <v>1221</v>
      </c>
      <c r="L42" s="259">
        <f t="shared" si="11"/>
        <v>633</v>
      </c>
      <c r="M42" s="259">
        <f t="shared" si="11"/>
        <v>0</v>
      </c>
      <c r="N42" s="259">
        <f t="shared" si="11"/>
        <v>13</v>
      </c>
      <c r="O42" s="259">
        <f t="shared" si="11"/>
        <v>0</v>
      </c>
      <c r="P42" s="259">
        <f t="shared" si="11"/>
        <v>18</v>
      </c>
      <c r="Q42" s="259">
        <f t="shared" si="11"/>
        <v>32948</v>
      </c>
    </row>
    <row r="43" spans="1:18" s="238" customFormat="1" ht="14.15" customHeight="1">
      <c r="A43" s="912"/>
      <c r="B43" s="263"/>
      <c r="C43" s="363"/>
      <c r="D43" s="364"/>
      <c r="E43" s="364"/>
      <c r="F43" s="364"/>
      <c r="G43" s="364"/>
      <c r="H43" s="364"/>
      <c r="I43" s="364"/>
      <c r="J43" s="364"/>
      <c r="K43" s="364"/>
      <c r="L43" s="364"/>
      <c r="M43" s="364"/>
      <c r="N43" s="364"/>
      <c r="O43" s="364"/>
      <c r="P43" s="364"/>
      <c r="Q43" s="364"/>
    </row>
    <row r="44" spans="1:18" s="355" customFormat="1" ht="14.15" customHeight="1">
      <c r="A44" s="912" t="s">
        <v>255</v>
      </c>
      <c r="B44" s="339">
        <v>57</v>
      </c>
      <c r="C44" s="339" t="s">
        <v>517</v>
      </c>
      <c r="D44" s="231">
        <v>9367</v>
      </c>
      <c r="E44" s="231">
        <v>0</v>
      </c>
      <c r="F44" s="231">
        <v>6018</v>
      </c>
      <c r="G44" s="231">
        <v>746</v>
      </c>
      <c r="H44" s="231">
        <v>301</v>
      </c>
      <c r="I44" s="231">
        <v>991</v>
      </c>
      <c r="J44" s="231">
        <v>1037</v>
      </c>
      <c r="K44" s="231">
        <v>658</v>
      </c>
      <c r="L44" s="231">
        <v>126</v>
      </c>
      <c r="M44" s="231">
        <v>0</v>
      </c>
      <c r="N44" s="231">
        <v>21</v>
      </c>
      <c r="O44" s="231">
        <v>0</v>
      </c>
      <c r="P44" s="231">
        <v>67</v>
      </c>
      <c r="Q44" s="231">
        <f t="shared" ref="Q44:Q52" si="12">D44+E44+F44+G44+H44+I44+J44+K44+L44+M44+N44+O44+P44</f>
        <v>19332</v>
      </c>
      <c r="R44" s="238"/>
    </row>
    <row r="45" spans="1:18" s="355" customFormat="1" ht="14.15" customHeight="1">
      <c r="A45" s="912"/>
      <c r="B45" s="340">
        <v>1</v>
      </c>
      <c r="C45" s="340" t="s">
        <v>760</v>
      </c>
      <c r="D45" s="239">
        <v>11657</v>
      </c>
      <c r="E45" s="239">
        <v>0</v>
      </c>
      <c r="F45" s="239">
        <v>10125</v>
      </c>
      <c r="G45" s="239">
        <v>1515</v>
      </c>
      <c r="H45" s="239">
        <v>66</v>
      </c>
      <c r="I45" s="239">
        <v>1299</v>
      </c>
      <c r="J45" s="239">
        <v>1543</v>
      </c>
      <c r="K45" s="239">
        <v>912</v>
      </c>
      <c r="L45" s="239">
        <v>337</v>
      </c>
      <c r="M45" s="239">
        <v>0</v>
      </c>
      <c r="N45" s="239">
        <v>26</v>
      </c>
      <c r="O45" s="239">
        <v>1047</v>
      </c>
      <c r="P45" s="239">
        <v>16</v>
      </c>
      <c r="Q45" s="239">
        <f t="shared" si="12"/>
        <v>28543</v>
      </c>
      <c r="R45" s="238"/>
    </row>
    <row r="46" spans="1:18" s="355" customFormat="1" ht="14.15" customHeight="1">
      <c r="A46" s="912"/>
      <c r="B46" s="340">
        <v>10</v>
      </c>
      <c r="C46" s="340" t="s">
        <v>761</v>
      </c>
      <c r="D46" s="239">
        <v>1093</v>
      </c>
      <c r="E46" s="239">
        <v>0</v>
      </c>
      <c r="F46" s="239">
        <v>2813</v>
      </c>
      <c r="G46" s="239">
        <v>276</v>
      </c>
      <c r="H46" s="239">
        <v>24</v>
      </c>
      <c r="I46" s="239">
        <v>74</v>
      </c>
      <c r="J46" s="239">
        <v>350</v>
      </c>
      <c r="K46" s="239">
        <v>247</v>
      </c>
      <c r="L46" s="239">
        <v>44</v>
      </c>
      <c r="M46" s="239">
        <v>0</v>
      </c>
      <c r="N46" s="239">
        <v>0</v>
      </c>
      <c r="O46" s="239">
        <v>0</v>
      </c>
      <c r="P46" s="239">
        <v>0</v>
      </c>
      <c r="Q46" s="239">
        <f t="shared" si="12"/>
        <v>4921</v>
      </c>
      <c r="R46" s="238"/>
    </row>
    <row r="47" spans="1:18" s="355" customFormat="1" ht="14.15" customHeight="1">
      <c r="A47" s="912"/>
      <c r="B47" s="340">
        <v>26</v>
      </c>
      <c r="C47" s="340" t="s">
        <v>762</v>
      </c>
      <c r="D47" s="239">
        <v>398</v>
      </c>
      <c r="E47" s="239">
        <v>0</v>
      </c>
      <c r="F47" s="239">
        <v>163</v>
      </c>
      <c r="G47" s="239">
        <v>23</v>
      </c>
      <c r="H47" s="239">
        <v>8</v>
      </c>
      <c r="I47" s="239">
        <v>22</v>
      </c>
      <c r="J47" s="239">
        <v>21</v>
      </c>
      <c r="K47" s="239">
        <v>10</v>
      </c>
      <c r="L47" s="239">
        <v>19</v>
      </c>
      <c r="M47" s="239">
        <v>0</v>
      </c>
      <c r="N47" s="239">
        <v>0</v>
      </c>
      <c r="O47" s="239">
        <v>0</v>
      </c>
      <c r="P47" s="239">
        <v>0</v>
      </c>
      <c r="Q47" s="239">
        <f t="shared" si="12"/>
        <v>664</v>
      </c>
      <c r="R47" s="238"/>
    </row>
    <row r="48" spans="1:18" s="355" customFormat="1" ht="14.15" customHeight="1">
      <c r="A48" s="912"/>
      <c r="B48" s="340">
        <v>15</v>
      </c>
      <c r="C48" s="340" t="s">
        <v>763</v>
      </c>
      <c r="D48" s="239">
        <v>649</v>
      </c>
      <c r="E48" s="239">
        <v>0</v>
      </c>
      <c r="F48" s="239">
        <v>249</v>
      </c>
      <c r="G48" s="239">
        <v>43</v>
      </c>
      <c r="H48" s="239">
        <v>2</v>
      </c>
      <c r="I48" s="239">
        <v>85</v>
      </c>
      <c r="J48" s="239">
        <v>83</v>
      </c>
      <c r="K48" s="239">
        <v>39</v>
      </c>
      <c r="L48" s="239">
        <v>0</v>
      </c>
      <c r="M48" s="239">
        <v>0</v>
      </c>
      <c r="N48" s="239">
        <v>0</v>
      </c>
      <c r="O48" s="239">
        <v>0</v>
      </c>
      <c r="P48" s="239">
        <v>0</v>
      </c>
      <c r="Q48" s="239">
        <f t="shared" si="12"/>
        <v>1150</v>
      </c>
      <c r="R48" s="238"/>
    </row>
    <row r="49" spans="1:18" s="355" customFormat="1" ht="14.15" customHeight="1">
      <c r="A49" s="912"/>
      <c r="B49" s="340">
        <v>87</v>
      </c>
      <c r="C49" s="340" t="s">
        <v>764</v>
      </c>
      <c r="D49" s="239">
        <v>446</v>
      </c>
      <c r="E49" s="239">
        <v>0</v>
      </c>
      <c r="F49" s="239">
        <v>114</v>
      </c>
      <c r="G49" s="239">
        <v>20</v>
      </c>
      <c r="H49" s="239">
        <v>28</v>
      </c>
      <c r="I49" s="239">
        <v>42</v>
      </c>
      <c r="J49" s="239">
        <v>50</v>
      </c>
      <c r="K49" s="239">
        <v>7</v>
      </c>
      <c r="L49" s="239">
        <v>0</v>
      </c>
      <c r="M49" s="239">
        <v>0</v>
      </c>
      <c r="N49" s="239">
        <v>0</v>
      </c>
      <c r="O49" s="239">
        <v>0</v>
      </c>
      <c r="P49" s="239">
        <v>0</v>
      </c>
      <c r="Q49" s="239">
        <f t="shared" si="12"/>
        <v>707</v>
      </c>
      <c r="R49" s="238"/>
    </row>
    <row r="50" spans="1:18" s="355" customFormat="1" ht="14.15" customHeight="1">
      <c r="A50" s="912"/>
      <c r="B50" s="340">
        <v>81</v>
      </c>
      <c r="C50" s="340" t="s">
        <v>765</v>
      </c>
      <c r="D50" s="239">
        <v>583</v>
      </c>
      <c r="E50" s="239">
        <v>0</v>
      </c>
      <c r="F50" s="239">
        <v>91</v>
      </c>
      <c r="G50" s="239">
        <v>54</v>
      </c>
      <c r="H50" s="239">
        <v>18</v>
      </c>
      <c r="I50" s="239">
        <v>31</v>
      </c>
      <c r="J50" s="239">
        <v>81</v>
      </c>
      <c r="K50" s="239">
        <v>54</v>
      </c>
      <c r="L50" s="239">
        <v>0</v>
      </c>
      <c r="M50" s="239">
        <v>0</v>
      </c>
      <c r="N50" s="239">
        <v>0</v>
      </c>
      <c r="O50" s="239">
        <v>0</v>
      </c>
      <c r="P50" s="239">
        <v>0</v>
      </c>
      <c r="Q50" s="239">
        <f t="shared" si="12"/>
        <v>912</v>
      </c>
      <c r="R50" s="238"/>
    </row>
    <row r="51" spans="1:18" s="355" customFormat="1" ht="14.15" customHeight="1">
      <c r="A51" s="912"/>
      <c r="B51" s="346">
        <v>54</v>
      </c>
      <c r="C51" s="346" t="s">
        <v>766</v>
      </c>
      <c r="D51" s="281">
        <v>210</v>
      </c>
      <c r="E51" s="281">
        <v>0</v>
      </c>
      <c r="F51" s="281">
        <v>236</v>
      </c>
      <c r="G51" s="281">
        <v>7</v>
      </c>
      <c r="H51" s="281">
        <v>0</v>
      </c>
      <c r="I51" s="281">
        <v>43</v>
      </c>
      <c r="J51" s="281">
        <v>26</v>
      </c>
      <c r="K51" s="281">
        <v>23</v>
      </c>
      <c r="L51" s="281">
        <v>0</v>
      </c>
      <c r="M51" s="281">
        <v>0</v>
      </c>
      <c r="N51" s="281">
        <v>0</v>
      </c>
      <c r="O51" s="281">
        <v>0</v>
      </c>
      <c r="P51" s="281">
        <v>0</v>
      </c>
      <c r="Q51" s="281">
        <f t="shared" si="12"/>
        <v>545</v>
      </c>
      <c r="R51" s="238"/>
    </row>
    <row r="52" spans="1:18" s="355" customFormat="1" ht="14.15" customHeight="1" thickBot="1">
      <c r="A52" s="912"/>
      <c r="B52" s="342">
        <v>75</v>
      </c>
      <c r="C52" s="342" t="s">
        <v>838</v>
      </c>
      <c r="D52" s="247">
        <v>204</v>
      </c>
      <c r="E52" s="247">
        <v>0</v>
      </c>
      <c r="F52" s="247">
        <v>124</v>
      </c>
      <c r="G52" s="247">
        <v>13</v>
      </c>
      <c r="H52" s="247">
        <v>0</v>
      </c>
      <c r="I52" s="247">
        <v>2</v>
      </c>
      <c r="J52" s="247">
        <v>23</v>
      </c>
      <c r="K52" s="247">
        <v>19</v>
      </c>
      <c r="L52" s="247">
        <v>0</v>
      </c>
      <c r="M52" s="247">
        <v>0</v>
      </c>
      <c r="N52" s="247">
        <v>0</v>
      </c>
      <c r="O52" s="247">
        <v>0</v>
      </c>
      <c r="P52" s="247">
        <v>0</v>
      </c>
      <c r="Q52" s="247">
        <f t="shared" si="12"/>
        <v>385</v>
      </c>
      <c r="R52" s="238"/>
    </row>
    <row r="53" spans="1:18" ht="14.15" customHeight="1" thickTop="1">
      <c r="A53" s="912"/>
      <c r="B53" s="252"/>
      <c r="C53" s="253" t="s">
        <v>34</v>
      </c>
      <c r="D53" s="259">
        <f t="shared" ref="D53:Q53" si="13">+SUM(D44:D52)</f>
        <v>24607</v>
      </c>
      <c r="E53" s="259">
        <f t="shared" si="13"/>
        <v>0</v>
      </c>
      <c r="F53" s="259">
        <f t="shared" si="13"/>
        <v>19933</v>
      </c>
      <c r="G53" s="259">
        <f t="shared" si="13"/>
        <v>2697</v>
      </c>
      <c r="H53" s="259">
        <f t="shared" si="13"/>
        <v>447</v>
      </c>
      <c r="I53" s="259">
        <f t="shared" si="13"/>
        <v>2589</v>
      </c>
      <c r="J53" s="259">
        <f t="shared" si="13"/>
        <v>3214</v>
      </c>
      <c r="K53" s="259">
        <f t="shared" si="13"/>
        <v>1969</v>
      </c>
      <c r="L53" s="259">
        <f t="shared" si="13"/>
        <v>526</v>
      </c>
      <c r="M53" s="259">
        <f t="shared" si="13"/>
        <v>0</v>
      </c>
      <c r="N53" s="259">
        <f t="shared" si="13"/>
        <v>47</v>
      </c>
      <c r="O53" s="259">
        <f t="shared" si="13"/>
        <v>1047</v>
      </c>
      <c r="P53" s="259">
        <f t="shared" si="13"/>
        <v>83</v>
      </c>
      <c r="Q53" s="259">
        <f t="shared" si="13"/>
        <v>57159</v>
      </c>
    </row>
    <row r="54" spans="1:18" s="238" customFormat="1" ht="14.15" customHeight="1">
      <c r="A54" s="912"/>
      <c r="B54" s="263"/>
      <c r="C54" s="264"/>
      <c r="D54" s="270"/>
      <c r="E54" s="270"/>
      <c r="F54" s="270"/>
      <c r="G54" s="270"/>
      <c r="H54" s="270"/>
      <c r="I54" s="270"/>
      <c r="J54" s="270"/>
      <c r="K54" s="270"/>
      <c r="L54" s="270"/>
      <c r="M54" s="270"/>
      <c r="N54" s="270"/>
      <c r="O54" s="270"/>
      <c r="P54" s="270"/>
      <c r="Q54" s="270"/>
    </row>
    <row r="55" spans="1:18" s="355" customFormat="1" ht="14.15" customHeight="1">
      <c r="A55" s="912" t="s">
        <v>768</v>
      </c>
      <c r="B55" s="339">
        <v>2</v>
      </c>
      <c r="C55" s="339" t="s">
        <v>769</v>
      </c>
      <c r="D55" s="239">
        <v>2934</v>
      </c>
      <c r="E55" s="231">
        <v>0</v>
      </c>
      <c r="F55" s="231">
        <v>551</v>
      </c>
      <c r="G55" s="231">
        <v>239</v>
      </c>
      <c r="H55" s="231">
        <v>0</v>
      </c>
      <c r="I55" s="231">
        <v>331</v>
      </c>
      <c r="J55" s="231">
        <v>226</v>
      </c>
      <c r="K55" s="231">
        <v>203</v>
      </c>
      <c r="L55" s="231">
        <v>683</v>
      </c>
      <c r="M55" s="231">
        <v>0</v>
      </c>
      <c r="N55" s="231">
        <v>0</v>
      </c>
      <c r="O55" s="231">
        <v>0</v>
      </c>
      <c r="P55" s="231">
        <v>0</v>
      </c>
      <c r="Q55" s="306">
        <f t="shared" ref="Q55:Q58" si="14">D55+E55+F55+G55+H55+I55+J55+K55+L55+M55+N55+O55+P55</f>
        <v>5167</v>
      </c>
      <c r="R55" s="238"/>
    </row>
    <row r="56" spans="1:18" s="355" customFormat="1" ht="14.15" customHeight="1">
      <c r="A56" s="912"/>
      <c r="B56" s="340">
        <v>27</v>
      </c>
      <c r="C56" s="340" t="s">
        <v>770</v>
      </c>
      <c r="D56" s="239">
        <v>1048</v>
      </c>
      <c r="E56" s="239">
        <v>0</v>
      </c>
      <c r="F56" s="239">
        <v>496</v>
      </c>
      <c r="G56" s="239">
        <v>130</v>
      </c>
      <c r="H56" s="239">
        <v>31</v>
      </c>
      <c r="I56" s="239">
        <v>81</v>
      </c>
      <c r="J56" s="239">
        <v>178</v>
      </c>
      <c r="K56" s="239">
        <v>61</v>
      </c>
      <c r="L56" s="239">
        <v>3</v>
      </c>
      <c r="M56" s="239">
        <v>0</v>
      </c>
      <c r="N56" s="239">
        <v>0</v>
      </c>
      <c r="O56" s="239">
        <v>0</v>
      </c>
      <c r="P56" s="239">
        <v>0</v>
      </c>
      <c r="Q56" s="239">
        <f t="shared" si="14"/>
        <v>2028</v>
      </c>
      <c r="R56" s="238"/>
    </row>
    <row r="57" spans="1:18" s="355" customFormat="1" ht="14.15" customHeight="1">
      <c r="A57" s="912"/>
      <c r="B57" s="340">
        <v>21</v>
      </c>
      <c r="C57" s="340" t="s">
        <v>771</v>
      </c>
      <c r="D57" s="239">
        <v>701</v>
      </c>
      <c r="E57" s="239">
        <v>0</v>
      </c>
      <c r="F57" s="239">
        <v>88</v>
      </c>
      <c r="G57" s="239">
        <v>121</v>
      </c>
      <c r="H57" s="239">
        <v>0</v>
      </c>
      <c r="I57" s="239">
        <v>71</v>
      </c>
      <c r="J57" s="239">
        <v>133</v>
      </c>
      <c r="K57" s="239">
        <v>44</v>
      </c>
      <c r="L57" s="239">
        <v>0</v>
      </c>
      <c r="M57" s="239">
        <v>0</v>
      </c>
      <c r="N57" s="239">
        <v>0</v>
      </c>
      <c r="O57" s="239">
        <v>0</v>
      </c>
      <c r="P57" s="239">
        <v>0</v>
      </c>
      <c r="Q57" s="239">
        <f t="shared" si="14"/>
        <v>1158</v>
      </c>
      <c r="R57" s="238"/>
    </row>
    <row r="58" spans="1:18" s="355" customFormat="1" ht="14.15" customHeight="1" thickBot="1">
      <c r="A58" s="912"/>
      <c r="B58" s="340">
        <v>40</v>
      </c>
      <c r="C58" s="340" t="s">
        <v>772</v>
      </c>
      <c r="D58" s="239">
        <v>295</v>
      </c>
      <c r="E58" s="239">
        <v>0</v>
      </c>
      <c r="F58" s="239">
        <v>15</v>
      </c>
      <c r="G58" s="239">
        <v>35</v>
      </c>
      <c r="H58" s="239">
        <v>5</v>
      </c>
      <c r="I58" s="239">
        <v>10</v>
      </c>
      <c r="J58" s="239">
        <v>37</v>
      </c>
      <c r="K58" s="239">
        <v>5</v>
      </c>
      <c r="L58" s="239">
        <v>0</v>
      </c>
      <c r="M58" s="239">
        <v>0</v>
      </c>
      <c r="N58" s="239">
        <v>0</v>
      </c>
      <c r="O58" s="239">
        <v>0</v>
      </c>
      <c r="P58" s="239">
        <v>0</v>
      </c>
      <c r="Q58" s="239">
        <f t="shared" si="14"/>
        <v>402</v>
      </c>
      <c r="R58" s="238"/>
    </row>
    <row r="59" spans="1:18" ht="14.15" customHeight="1" thickTop="1">
      <c r="A59" s="912"/>
      <c r="B59" s="252"/>
      <c r="C59" s="253" t="s">
        <v>34</v>
      </c>
      <c r="D59" s="259">
        <f t="shared" ref="D59:Q59" si="15">+SUM(D55:D58)</f>
        <v>4978</v>
      </c>
      <c r="E59" s="259">
        <f t="shared" si="15"/>
        <v>0</v>
      </c>
      <c r="F59" s="259">
        <f t="shared" si="15"/>
        <v>1150</v>
      </c>
      <c r="G59" s="259">
        <f t="shared" si="15"/>
        <v>525</v>
      </c>
      <c r="H59" s="259">
        <f t="shared" si="15"/>
        <v>36</v>
      </c>
      <c r="I59" s="259">
        <f t="shared" si="15"/>
        <v>493</v>
      </c>
      <c r="J59" s="259">
        <f t="shared" si="15"/>
        <v>574</v>
      </c>
      <c r="K59" s="259">
        <f t="shared" si="15"/>
        <v>313</v>
      </c>
      <c r="L59" s="259">
        <f t="shared" si="15"/>
        <v>686</v>
      </c>
      <c r="M59" s="259">
        <f t="shared" si="15"/>
        <v>0</v>
      </c>
      <c r="N59" s="259">
        <f t="shared" si="15"/>
        <v>0</v>
      </c>
      <c r="O59" s="259">
        <f t="shared" si="15"/>
        <v>0</v>
      </c>
      <c r="P59" s="259">
        <f t="shared" si="15"/>
        <v>0</v>
      </c>
      <c r="Q59" s="259">
        <f t="shared" si="15"/>
        <v>8755</v>
      </c>
    </row>
    <row r="60" spans="1:18" s="238" customFormat="1" ht="14.15" customHeight="1">
      <c r="A60" s="912"/>
      <c r="B60" s="263"/>
      <c r="C60" s="264"/>
      <c r="D60" s="270"/>
      <c r="E60" s="270"/>
      <c r="F60" s="270"/>
      <c r="G60" s="270"/>
      <c r="H60" s="270"/>
      <c r="I60" s="270"/>
      <c r="J60" s="270"/>
      <c r="K60" s="270"/>
      <c r="L60" s="270"/>
      <c r="M60" s="270"/>
      <c r="N60" s="270"/>
      <c r="O60" s="270"/>
      <c r="P60" s="270"/>
      <c r="Q60" s="270"/>
    </row>
    <row r="61" spans="1:18" ht="14.15" customHeight="1">
      <c r="A61" s="796" t="s">
        <v>774</v>
      </c>
      <c r="B61" s="351"/>
      <c r="C61" s="352" t="s">
        <v>34</v>
      </c>
      <c r="D61" s="315">
        <f t="shared" ref="D61:Q61" si="16">+D9+D12+D19+D28+D35+D42+D53+D59</f>
        <v>103379</v>
      </c>
      <c r="E61" s="315">
        <f t="shared" si="16"/>
        <v>0</v>
      </c>
      <c r="F61" s="315">
        <f t="shared" si="16"/>
        <v>31849</v>
      </c>
      <c r="G61" s="315">
        <f t="shared" si="16"/>
        <v>8038</v>
      </c>
      <c r="H61" s="315">
        <f t="shared" si="16"/>
        <v>2171</v>
      </c>
      <c r="I61" s="315">
        <f t="shared" si="16"/>
        <v>8259</v>
      </c>
      <c r="J61" s="315">
        <f t="shared" si="16"/>
        <v>10614</v>
      </c>
      <c r="K61" s="315">
        <f t="shared" si="16"/>
        <v>6699</v>
      </c>
      <c r="L61" s="315">
        <f t="shared" si="16"/>
        <v>2382</v>
      </c>
      <c r="M61" s="315">
        <f t="shared" si="16"/>
        <v>78</v>
      </c>
      <c r="N61" s="315">
        <f t="shared" si="16"/>
        <v>148</v>
      </c>
      <c r="O61" s="315">
        <f t="shared" si="16"/>
        <v>1047</v>
      </c>
      <c r="P61" s="315">
        <f t="shared" si="16"/>
        <v>108</v>
      </c>
      <c r="Q61" s="315">
        <f t="shared" si="16"/>
        <v>174772</v>
      </c>
    </row>
    <row r="62" spans="1:18" ht="14.15" customHeight="1"/>
    <row r="63" spans="1:18" ht="14.15" customHeight="1"/>
    <row r="64" spans="1:18" ht="14.15" customHeight="1"/>
    <row r="65" ht="14.15" customHeight="1"/>
    <row r="66" ht="14.15" customHeight="1"/>
    <row r="67" ht="14.15" customHeight="1"/>
    <row r="68" ht="14.15" customHeight="1"/>
    <row r="69" ht="14.15" customHeight="1"/>
    <row r="70" ht="14.15" customHeight="1"/>
    <row r="71" ht="14.15" customHeight="1"/>
    <row r="72" ht="14.15" customHeight="1"/>
    <row r="73" ht="14.15" customHeight="1"/>
    <row r="74" ht="14.15" customHeight="1"/>
    <row r="75" ht="14.15" customHeight="1"/>
    <row r="76" ht="14.15" customHeight="1"/>
    <row r="77" ht="14.15" customHeight="1"/>
    <row r="78" ht="14.15" customHeight="1"/>
    <row r="79" ht="14.15" customHeight="1"/>
    <row r="80" ht="14.15" customHeight="1"/>
    <row r="81" ht="14.15" customHeight="1"/>
    <row r="82" ht="14.15" customHeight="1"/>
    <row r="83" ht="14.15" customHeight="1"/>
    <row r="84" ht="14.15" customHeight="1"/>
    <row r="85" ht="14.15" customHeight="1"/>
    <row r="86" ht="14.15" customHeight="1"/>
    <row r="87" ht="14.15" customHeight="1"/>
    <row r="88" ht="14.15" customHeight="1"/>
    <row r="89" ht="14.15" customHeight="1"/>
    <row r="90" ht="14.15" customHeight="1"/>
    <row r="91" ht="14.15" customHeight="1"/>
    <row r="92" ht="14.15" customHeight="1"/>
    <row r="93" ht="14.15" customHeight="1"/>
    <row r="94" ht="14.15" customHeight="1"/>
    <row r="95" ht="14.15" customHeight="1"/>
    <row r="96" ht="14.15" customHeight="1"/>
    <row r="97" ht="14.15" customHeight="1"/>
    <row r="98" ht="14.15" customHeight="1"/>
    <row r="99" ht="14.15" customHeight="1"/>
    <row r="100" ht="14.15" customHeight="1"/>
    <row r="101" ht="14.15" customHeight="1"/>
    <row r="102" ht="14.15" customHeight="1"/>
    <row r="103" ht="14.15" customHeight="1"/>
    <row r="104" ht="14.15" customHeight="1"/>
    <row r="105" ht="14.15" customHeight="1"/>
    <row r="106" ht="14.15" customHeight="1"/>
    <row r="107" ht="14.15" customHeight="1"/>
    <row r="108" ht="14.15" customHeight="1"/>
    <row r="109" ht="14.15" customHeight="1"/>
    <row r="110" ht="14.15" customHeight="1"/>
    <row r="111" ht="14.15" customHeight="1"/>
    <row r="112" ht="14.15" customHeight="1"/>
    <row r="113" ht="14.15" customHeight="1"/>
    <row r="114" ht="14.15" customHeight="1"/>
    <row r="115" ht="14.15" customHeight="1"/>
    <row r="116" ht="14.15" customHeight="1"/>
    <row r="117" ht="14.15" customHeight="1"/>
    <row r="118" ht="14.15" customHeight="1"/>
    <row r="119" ht="14.15" customHeight="1"/>
    <row r="120" ht="14.15" customHeight="1"/>
    <row r="121" ht="14.15" customHeight="1"/>
    <row r="122" ht="14.15" customHeight="1"/>
    <row r="123" ht="14.15" customHeight="1"/>
    <row r="124" ht="14.15" customHeight="1"/>
    <row r="125" ht="14.15" customHeight="1"/>
    <row r="126" ht="14.15" customHeight="1"/>
    <row r="127" ht="14.15" customHeight="1"/>
    <row r="128" ht="14.15" customHeight="1"/>
    <row r="129" ht="14.15" customHeight="1"/>
    <row r="130" ht="14.15" customHeight="1"/>
    <row r="131" ht="14.15" customHeight="1"/>
    <row r="132" ht="14.15" customHeight="1"/>
    <row r="133" ht="14.15" customHeight="1"/>
    <row r="134" ht="14.15" customHeight="1"/>
    <row r="135" ht="14.15" customHeight="1"/>
    <row r="136" ht="14.15" customHeight="1"/>
    <row r="137" ht="14.15" customHeight="1"/>
    <row r="138" ht="14.15" customHeight="1"/>
    <row r="139" ht="14.15" customHeight="1"/>
    <row r="140" ht="14.15" customHeight="1"/>
    <row r="141" ht="14.15" customHeight="1"/>
    <row r="142" ht="14.15" customHeight="1"/>
    <row r="143" ht="14.15" customHeight="1"/>
    <row r="144" ht="14.15" customHeight="1"/>
    <row r="145" ht="14.15" customHeight="1"/>
    <row r="146" ht="14.15" customHeight="1"/>
    <row r="147" ht="14.15" customHeight="1"/>
    <row r="148" ht="14.15" customHeight="1"/>
    <row r="149" ht="14.15" customHeight="1"/>
    <row r="150" ht="14.15" customHeight="1"/>
    <row r="151" ht="14.15" customHeight="1"/>
    <row r="152" ht="14.15" customHeight="1"/>
    <row r="153" ht="14.15" customHeight="1"/>
    <row r="154" ht="14.15" customHeight="1"/>
    <row r="155" ht="14.15" customHeight="1"/>
    <row r="156" ht="14.15" customHeight="1"/>
    <row r="157" ht="14.15" customHeight="1"/>
    <row r="158" ht="14.15" customHeight="1"/>
    <row r="159" ht="14.15" customHeight="1"/>
    <row r="16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sheetData>
  <mergeCells count="12">
    <mergeCell ref="A14:A20"/>
    <mergeCell ref="A21:A29"/>
    <mergeCell ref="A30:A36"/>
    <mergeCell ref="A37:A43"/>
    <mergeCell ref="A44:A54"/>
    <mergeCell ref="A55:A60"/>
    <mergeCell ref="A3:A4"/>
    <mergeCell ref="B3:B4"/>
    <mergeCell ref="C3:C4"/>
    <mergeCell ref="D3:Q3"/>
    <mergeCell ref="A5:A10"/>
    <mergeCell ref="A11:A13"/>
  </mergeCells>
  <phoneticPr fontId="6"/>
  <pageMargins left="0.78740157480314965" right="0.19685039370078741" top="0.59055118110236227" bottom="0.59055118110236227" header="0.51181102362204722" footer="0.51181102362204722"/>
  <pageSetup paperSize="9" scale="74"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1B0F0-DA5B-42E6-8FC7-01A5A346A92C}">
  <dimension ref="A1:AF206"/>
  <sheetViews>
    <sheetView view="pageBreakPreview" zoomScale="80" zoomScaleNormal="75" zoomScaleSheetLayoutView="80" workbookViewId="0">
      <pane xSplit="3" ySplit="6" topLeftCell="H7" activePane="bottomRight" state="frozen"/>
      <selection pane="topRight" activeCell="D1" sqref="D1"/>
      <selection pane="bottomLeft" activeCell="A7" sqref="A7"/>
      <selection pane="bottomRight"/>
    </sheetView>
  </sheetViews>
  <sheetFormatPr defaultRowHeight="11"/>
  <cols>
    <col min="1" max="1" width="5.6328125" style="150" customWidth="1"/>
    <col min="2" max="2" width="3" style="150" customWidth="1"/>
    <col min="3" max="3" width="15.36328125" style="150" customWidth="1"/>
    <col min="4" max="11" width="8.6328125" style="150" customWidth="1"/>
    <col min="12" max="12" width="4.6328125" style="365" customWidth="1"/>
    <col min="13" max="13" width="8.6328125" style="150" customWidth="1"/>
    <col min="14" max="14" width="4.6328125" style="365" customWidth="1"/>
    <col min="15" max="15" width="8.6328125" style="150" customWidth="1"/>
    <col min="16" max="16" width="4.6328125" style="365" customWidth="1"/>
    <col min="17" max="17" width="8.6328125" style="150" customWidth="1"/>
    <col min="18" max="18" width="4.6328125" style="365" customWidth="1"/>
    <col min="19" max="19" width="8.6328125" style="150" customWidth="1"/>
    <col min="20" max="20" width="4.6328125" style="365" customWidth="1"/>
    <col min="21" max="21" width="8.6328125" style="150" customWidth="1"/>
    <col min="22" max="22" width="4.6328125" style="365" customWidth="1"/>
    <col min="23" max="23" width="8.6328125" style="150" customWidth="1"/>
    <col min="24" max="24" width="4.6328125" style="365" customWidth="1"/>
    <col min="25" max="25" width="8.6328125" style="150" customWidth="1"/>
    <col min="26" max="26" width="4.6328125" style="365" customWidth="1"/>
    <col min="27" max="27" width="8.6328125" style="150" customWidth="1"/>
    <col min="28" max="28" width="4.6328125" style="365" customWidth="1"/>
    <col min="29" max="29" width="8.6328125" style="150" customWidth="1"/>
    <col min="30" max="30" width="4.6328125" style="365" customWidth="1"/>
    <col min="31" max="31" width="9.26953125" style="150" bestFit="1" customWidth="1"/>
    <col min="32" max="32" width="8.7265625" style="150"/>
    <col min="33" max="33" width="7.08984375" style="150" customWidth="1"/>
    <col min="34" max="256" width="8.7265625" style="150"/>
    <col min="257" max="257" width="5.6328125" style="150" customWidth="1"/>
    <col min="258" max="258" width="3" style="150" customWidth="1"/>
    <col min="259" max="259" width="15.36328125" style="150" customWidth="1"/>
    <col min="260" max="267" width="8.6328125" style="150" customWidth="1"/>
    <col min="268" max="268" width="4.6328125" style="150" customWidth="1"/>
    <col min="269" max="269" width="8.6328125" style="150" customWidth="1"/>
    <col min="270" max="270" width="4.6328125" style="150" customWidth="1"/>
    <col min="271" max="271" width="8.6328125" style="150" customWidth="1"/>
    <col min="272" max="272" width="4.6328125" style="150" customWidth="1"/>
    <col min="273" max="273" width="8.6328125" style="150" customWidth="1"/>
    <col min="274" max="274" width="4.6328125" style="150" customWidth="1"/>
    <col min="275" max="275" width="8.6328125" style="150" customWidth="1"/>
    <col min="276" max="276" width="4.6328125" style="150" customWidth="1"/>
    <col min="277" max="277" width="8.6328125" style="150" customWidth="1"/>
    <col min="278" max="278" width="4.6328125" style="150" customWidth="1"/>
    <col min="279" max="279" width="8.6328125" style="150" customWidth="1"/>
    <col min="280" max="280" width="4.6328125" style="150" customWidth="1"/>
    <col min="281" max="281" width="8.6328125" style="150" customWidth="1"/>
    <col min="282" max="282" width="4.6328125" style="150" customWidth="1"/>
    <col min="283" max="283" width="8.6328125" style="150" customWidth="1"/>
    <col min="284" max="284" width="4.6328125" style="150" customWidth="1"/>
    <col min="285" max="285" width="8.6328125" style="150" customWidth="1"/>
    <col min="286" max="286" width="4.6328125" style="150" customWidth="1"/>
    <col min="287" max="287" width="9.26953125" style="150" bestFit="1" customWidth="1"/>
    <col min="288" max="288" width="8.7265625" style="150"/>
    <col min="289" max="289" width="7.08984375" style="150" customWidth="1"/>
    <col min="290" max="512" width="8.7265625" style="150"/>
    <col min="513" max="513" width="5.6328125" style="150" customWidth="1"/>
    <col min="514" max="514" width="3" style="150" customWidth="1"/>
    <col min="515" max="515" width="15.36328125" style="150" customWidth="1"/>
    <col min="516" max="523" width="8.6328125" style="150" customWidth="1"/>
    <col min="524" max="524" width="4.6328125" style="150" customWidth="1"/>
    <col min="525" max="525" width="8.6328125" style="150" customWidth="1"/>
    <col min="526" max="526" width="4.6328125" style="150" customWidth="1"/>
    <col min="527" max="527" width="8.6328125" style="150" customWidth="1"/>
    <col min="528" max="528" width="4.6328125" style="150" customWidth="1"/>
    <col min="529" max="529" width="8.6328125" style="150" customWidth="1"/>
    <col min="530" max="530" width="4.6328125" style="150" customWidth="1"/>
    <col min="531" max="531" width="8.6328125" style="150" customWidth="1"/>
    <col min="532" max="532" width="4.6328125" style="150" customWidth="1"/>
    <col min="533" max="533" width="8.6328125" style="150" customWidth="1"/>
    <col min="534" max="534" width="4.6328125" style="150" customWidth="1"/>
    <col min="535" max="535" width="8.6328125" style="150" customWidth="1"/>
    <col min="536" max="536" width="4.6328125" style="150" customWidth="1"/>
    <col min="537" max="537" width="8.6328125" style="150" customWidth="1"/>
    <col min="538" max="538" width="4.6328125" style="150" customWidth="1"/>
    <col min="539" max="539" width="8.6328125" style="150" customWidth="1"/>
    <col min="540" max="540" width="4.6328125" style="150" customWidth="1"/>
    <col min="541" max="541" width="8.6328125" style="150" customWidth="1"/>
    <col min="542" max="542" width="4.6328125" style="150" customWidth="1"/>
    <col min="543" max="543" width="9.26953125" style="150" bestFit="1" customWidth="1"/>
    <col min="544" max="544" width="8.7265625" style="150"/>
    <col min="545" max="545" width="7.08984375" style="150" customWidth="1"/>
    <col min="546" max="768" width="8.7265625" style="150"/>
    <col min="769" max="769" width="5.6328125" style="150" customWidth="1"/>
    <col min="770" max="770" width="3" style="150" customWidth="1"/>
    <col min="771" max="771" width="15.36328125" style="150" customWidth="1"/>
    <col min="772" max="779" width="8.6328125" style="150" customWidth="1"/>
    <col min="780" max="780" width="4.6328125" style="150" customWidth="1"/>
    <col min="781" max="781" width="8.6328125" style="150" customWidth="1"/>
    <col min="782" max="782" width="4.6328125" style="150" customWidth="1"/>
    <col min="783" max="783" width="8.6328125" style="150" customWidth="1"/>
    <col min="784" max="784" width="4.6328125" style="150" customWidth="1"/>
    <col min="785" max="785" width="8.6328125" style="150" customWidth="1"/>
    <col min="786" max="786" width="4.6328125" style="150" customWidth="1"/>
    <col min="787" max="787" width="8.6328125" style="150" customWidth="1"/>
    <col min="788" max="788" width="4.6328125" style="150" customWidth="1"/>
    <col min="789" max="789" width="8.6328125" style="150" customWidth="1"/>
    <col min="790" max="790" width="4.6328125" style="150" customWidth="1"/>
    <col min="791" max="791" width="8.6328125" style="150" customWidth="1"/>
    <col min="792" max="792" width="4.6328125" style="150" customWidth="1"/>
    <col min="793" max="793" width="8.6328125" style="150" customWidth="1"/>
    <col min="794" max="794" width="4.6328125" style="150" customWidth="1"/>
    <col min="795" max="795" width="8.6328125" style="150" customWidth="1"/>
    <col min="796" max="796" width="4.6328125" style="150" customWidth="1"/>
    <col min="797" max="797" width="8.6328125" style="150" customWidth="1"/>
    <col min="798" max="798" width="4.6328125" style="150" customWidth="1"/>
    <col min="799" max="799" width="9.26953125" style="150" bestFit="1" customWidth="1"/>
    <col min="800" max="800" width="8.7265625" style="150"/>
    <col min="801" max="801" width="7.08984375" style="150" customWidth="1"/>
    <col min="802" max="1024" width="8.7265625" style="150"/>
    <col min="1025" max="1025" width="5.6328125" style="150" customWidth="1"/>
    <col min="1026" max="1026" width="3" style="150" customWidth="1"/>
    <col min="1027" max="1027" width="15.36328125" style="150" customWidth="1"/>
    <col min="1028" max="1035" width="8.6328125" style="150" customWidth="1"/>
    <col min="1036" max="1036" width="4.6328125" style="150" customWidth="1"/>
    <col min="1037" max="1037" width="8.6328125" style="150" customWidth="1"/>
    <col min="1038" max="1038" width="4.6328125" style="150" customWidth="1"/>
    <col min="1039" max="1039" width="8.6328125" style="150" customWidth="1"/>
    <col min="1040" max="1040" width="4.6328125" style="150" customWidth="1"/>
    <col min="1041" max="1041" width="8.6328125" style="150" customWidth="1"/>
    <col min="1042" max="1042" width="4.6328125" style="150" customWidth="1"/>
    <col min="1043" max="1043" width="8.6328125" style="150" customWidth="1"/>
    <col min="1044" max="1044" width="4.6328125" style="150" customWidth="1"/>
    <col min="1045" max="1045" width="8.6328125" style="150" customWidth="1"/>
    <col min="1046" max="1046" width="4.6328125" style="150" customWidth="1"/>
    <col min="1047" max="1047" width="8.6328125" style="150" customWidth="1"/>
    <col min="1048" max="1048" width="4.6328125" style="150" customWidth="1"/>
    <col min="1049" max="1049" width="8.6328125" style="150" customWidth="1"/>
    <col min="1050" max="1050" width="4.6328125" style="150" customWidth="1"/>
    <col min="1051" max="1051" width="8.6328125" style="150" customWidth="1"/>
    <col min="1052" max="1052" width="4.6328125" style="150" customWidth="1"/>
    <col min="1053" max="1053" width="8.6328125" style="150" customWidth="1"/>
    <col min="1054" max="1054" width="4.6328125" style="150" customWidth="1"/>
    <col min="1055" max="1055" width="9.26953125" style="150" bestFit="1" customWidth="1"/>
    <col min="1056" max="1056" width="8.7265625" style="150"/>
    <col min="1057" max="1057" width="7.08984375" style="150" customWidth="1"/>
    <col min="1058" max="1280" width="8.7265625" style="150"/>
    <col min="1281" max="1281" width="5.6328125" style="150" customWidth="1"/>
    <col min="1282" max="1282" width="3" style="150" customWidth="1"/>
    <col min="1283" max="1283" width="15.36328125" style="150" customWidth="1"/>
    <col min="1284" max="1291" width="8.6328125" style="150" customWidth="1"/>
    <col min="1292" max="1292" width="4.6328125" style="150" customWidth="1"/>
    <col min="1293" max="1293" width="8.6328125" style="150" customWidth="1"/>
    <col min="1294" max="1294" width="4.6328125" style="150" customWidth="1"/>
    <col min="1295" max="1295" width="8.6328125" style="150" customWidth="1"/>
    <col min="1296" max="1296" width="4.6328125" style="150" customWidth="1"/>
    <col min="1297" max="1297" width="8.6328125" style="150" customWidth="1"/>
    <col min="1298" max="1298" width="4.6328125" style="150" customWidth="1"/>
    <col min="1299" max="1299" width="8.6328125" style="150" customWidth="1"/>
    <col min="1300" max="1300" width="4.6328125" style="150" customWidth="1"/>
    <col min="1301" max="1301" width="8.6328125" style="150" customWidth="1"/>
    <col min="1302" max="1302" width="4.6328125" style="150" customWidth="1"/>
    <col min="1303" max="1303" width="8.6328125" style="150" customWidth="1"/>
    <col min="1304" max="1304" width="4.6328125" style="150" customWidth="1"/>
    <col min="1305" max="1305" width="8.6328125" style="150" customWidth="1"/>
    <col min="1306" max="1306" width="4.6328125" style="150" customWidth="1"/>
    <col min="1307" max="1307" width="8.6328125" style="150" customWidth="1"/>
    <col min="1308" max="1308" width="4.6328125" style="150" customWidth="1"/>
    <col min="1309" max="1309" width="8.6328125" style="150" customWidth="1"/>
    <col min="1310" max="1310" width="4.6328125" style="150" customWidth="1"/>
    <col min="1311" max="1311" width="9.26953125" style="150" bestFit="1" customWidth="1"/>
    <col min="1312" max="1312" width="8.7265625" style="150"/>
    <col min="1313" max="1313" width="7.08984375" style="150" customWidth="1"/>
    <col min="1314" max="1536" width="8.7265625" style="150"/>
    <col min="1537" max="1537" width="5.6328125" style="150" customWidth="1"/>
    <col min="1538" max="1538" width="3" style="150" customWidth="1"/>
    <col min="1539" max="1539" width="15.36328125" style="150" customWidth="1"/>
    <col min="1540" max="1547" width="8.6328125" style="150" customWidth="1"/>
    <col min="1548" max="1548" width="4.6328125" style="150" customWidth="1"/>
    <col min="1549" max="1549" width="8.6328125" style="150" customWidth="1"/>
    <col min="1550" max="1550" width="4.6328125" style="150" customWidth="1"/>
    <col min="1551" max="1551" width="8.6328125" style="150" customWidth="1"/>
    <col min="1552" max="1552" width="4.6328125" style="150" customWidth="1"/>
    <col min="1553" max="1553" width="8.6328125" style="150" customWidth="1"/>
    <col min="1554" max="1554" width="4.6328125" style="150" customWidth="1"/>
    <col min="1555" max="1555" width="8.6328125" style="150" customWidth="1"/>
    <col min="1556" max="1556" width="4.6328125" style="150" customWidth="1"/>
    <col min="1557" max="1557" width="8.6328125" style="150" customWidth="1"/>
    <col min="1558" max="1558" width="4.6328125" style="150" customWidth="1"/>
    <col min="1559" max="1559" width="8.6328125" style="150" customWidth="1"/>
    <col min="1560" max="1560" width="4.6328125" style="150" customWidth="1"/>
    <col min="1561" max="1561" width="8.6328125" style="150" customWidth="1"/>
    <col min="1562" max="1562" width="4.6328125" style="150" customWidth="1"/>
    <col min="1563" max="1563" width="8.6328125" style="150" customWidth="1"/>
    <col min="1564" max="1564" width="4.6328125" style="150" customWidth="1"/>
    <col min="1565" max="1565" width="8.6328125" style="150" customWidth="1"/>
    <col min="1566" max="1566" width="4.6328125" style="150" customWidth="1"/>
    <col min="1567" max="1567" width="9.26953125" style="150" bestFit="1" customWidth="1"/>
    <col min="1568" max="1568" width="8.7265625" style="150"/>
    <col min="1569" max="1569" width="7.08984375" style="150" customWidth="1"/>
    <col min="1570" max="1792" width="8.7265625" style="150"/>
    <col min="1793" max="1793" width="5.6328125" style="150" customWidth="1"/>
    <col min="1794" max="1794" width="3" style="150" customWidth="1"/>
    <col min="1795" max="1795" width="15.36328125" style="150" customWidth="1"/>
    <col min="1796" max="1803" width="8.6328125" style="150" customWidth="1"/>
    <col min="1804" max="1804" width="4.6328125" style="150" customWidth="1"/>
    <col min="1805" max="1805" width="8.6328125" style="150" customWidth="1"/>
    <col min="1806" max="1806" width="4.6328125" style="150" customWidth="1"/>
    <col min="1807" max="1807" width="8.6328125" style="150" customWidth="1"/>
    <col min="1808" max="1808" width="4.6328125" style="150" customWidth="1"/>
    <col min="1809" max="1809" width="8.6328125" style="150" customWidth="1"/>
    <col min="1810" max="1810" width="4.6328125" style="150" customWidth="1"/>
    <col min="1811" max="1811" width="8.6328125" style="150" customWidth="1"/>
    <col min="1812" max="1812" width="4.6328125" style="150" customWidth="1"/>
    <col min="1813" max="1813" width="8.6328125" style="150" customWidth="1"/>
    <col min="1814" max="1814" width="4.6328125" style="150" customWidth="1"/>
    <col min="1815" max="1815" width="8.6328125" style="150" customWidth="1"/>
    <col min="1816" max="1816" width="4.6328125" style="150" customWidth="1"/>
    <col min="1817" max="1817" width="8.6328125" style="150" customWidth="1"/>
    <col min="1818" max="1818" width="4.6328125" style="150" customWidth="1"/>
    <col min="1819" max="1819" width="8.6328125" style="150" customWidth="1"/>
    <col min="1820" max="1820" width="4.6328125" style="150" customWidth="1"/>
    <col min="1821" max="1821" width="8.6328125" style="150" customWidth="1"/>
    <col min="1822" max="1822" width="4.6328125" style="150" customWidth="1"/>
    <col min="1823" max="1823" width="9.26953125" style="150" bestFit="1" customWidth="1"/>
    <col min="1824" max="1824" width="8.7265625" style="150"/>
    <col min="1825" max="1825" width="7.08984375" style="150" customWidth="1"/>
    <col min="1826" max="2048" width="8.7265625" style="150"/>
    <col min="2049" max="2049" width="5.6328125" style="150" customWidth="1"/>
    <col min="2050" max="2050" width="3" style="150" customWidth="1"/>
    <col min="2051" max="2051" width="15.36328125" style="150" customWidth="1"/>
    <col min="2052" max="2059" width="8.6328125" style="150" customWidth="1"/>
    <col min="2060" max="2060" width="4.6328125" style="150" customWidth="1"/>
    <col min="2061" max="2061" width="8.6328125" style="150" customWidth="1"/>
    <col min="2062" max="2062" width="4.6328125" style="150" customWidth="1"/>
    <col min="2063" max="2063" width="8.6328125" style="150" customWidth="1"/>
    <col min="2064" max="2064" width="4.6328125" style="150" customWidth="1"/>
    <col min="2065" max="2065" width="8.6328125" style="150" customWidth="1"/>
    <col min="2066" max="2066" width="4.6328125" style="150" customWidth="1"/>
    <col min="2067" max="2067" width="8.6328125" style="150" customWidth="1"/>
    <col min="2068" max="2068" width="4.6328125" style="150" customWidth="1"/>
    <col min="2069" max="2069" width="8.6328125" style="150" customWidth="1"/>
    <col min="2070" max="2070" width="4.6328125" style="150" customWidth="1"/>
    <col min="2071" max="2071" width="8.6328125" style="150" customWidth="1"/>
    <col min="2072" max="2072" width="4.6328125" style="150" customWidth="1"/>
    <col min="2073" max="2073" width="8.6328125" style="150" customWidth="1"/>
    <col min="2074" max="2074" width="4.6328125" style="150" customWidth="1"/>
    <col min="2075" max="2075" width="8.6328125" style="150" customWidth="1"/>
    <col min="2076" max="2076" width="4.6328125" style="150" customWidth="1"/>
    <col min="2077" max="2077" width="8.6328125" style="150" customWidth="1"/>
    <col min="2078" max="2078" width="4.6328125" style="150" customWidth="1"/>
    <col min="2079" max="2079" width="9.26953125" style="150" bestFit="1" customWidth="1"/>
    <col min="2080" max="2080" width="8.7265625" style="150"/>
    <col min="2081" max="2081" width="7.08984375" style="150" customWidth="1"/>
    <col min="2082" max="2304" width="8.7265625" style="150"/>
    <col min="2305" max="2305" width="5.6328125" style="150" customWidth="1"/>
    <col min="2306" max="2306" width="3" style="150" customWidth="1"/>
    <col min="2307" max="2307" width="15.36328125" style="150" customWidth="1"/>
    <col min="2308" max="2315" width="8.6328125" style="150" customWidth="1"/>
    <col min="2316" max="2316" width="4.6328125" style="150" customWidth="1"/>
    <col min="2317" max="2317" width="8.6328125" style="150" customWidth="1"/>
    <col min="2318" max="2318" width="4.6328125" style="150" customWidth="1"/>
    <col min="2319" max="2319" width="8.6328125" style="150" customWidth="1"/>
    <col min="2320" max="2320" width="4.6328125" style="150" customWidth="1"/>
    <col min="2321" max="2321" width="8.6328125" style="150" customWidth="1"/>
    <col min="2322" max="2322" width="4.6328125" style="150" customWidth="1"/>
    <col min="2323" max="2323" width="8.6328125" style="150" customWidth="1"/>
    <col min="2324" max="2324" width="4.6328125" style="150" customWidth="1"/>
    <col min="2325" max="2325" width="8.6328125" style="150" customWidth="1"/>
    <col min="2326" max="2326" width="4.6328125" style="150" customWidth="1"/>
    <col min="2327" max="2327" width="8.6328125" style="150" customWidth="1"/>
    <col min="2328" max="2328" width="4.6328125" style="150" customWidth="1"/>
    <col min="2329" max="2329" width="8.6328125" style="150" customWidth="1"/>
    <col min="2330" max="2330" width="4.6328125" style="150" customWidth="1"/>
    <col min="2331" max="2331" width="8.6328125" style="150" customWidth="1"/>
    <col min="2332" max="2332" width="4.6328125" style="150" customWidth="1"/>
    <col min="2333" max="2333" width="8.6328125" style="150" customWidth="1"/>
    <col min="2334" max="2334" width="4.6328125" style="150" customWidth="1"/>
    <col min="2335" max="2335" width="9.26953125" style="150" bestFit="1" customWidth="1"/>
    <col min="2336" max="2336" width="8.7265625" style="150"/>
    <col min="2337" max="2337" width="7.08984375" style="150" customWidth="1"/>
    <col min="2338" max="2560" width="8.7265625" style="150"/>
    <col min="2561" max="2561" width="5.6328125" style="150" customWidth="1"/>
    <col min="2562" max="2562" width="3" style="150" customWidth="1"/>
    <col min="2563" max="2563" width="15.36328125" style="150" customWidth="1"/>
    <col min="2564" max="2571" width="8.6328125" style="150" customWidth="1"/>
    <col min="2572" max="2572" width="4.6328125" style="150" customWidth="1"/>
    <col min="2573" max="2573" width="8.6328125" style="150" customWidth="1"/>
    <col min="2574" max="2574" width="4.6328125" style="150" customWidth="1"/>
    <col min="2575" max="2575" width="8.6328125" style="150" customWidth="1"/>
    <col min="2576" max="2576" width="4.6328125" style="150" customWidth="1"/>
    <col min="2577" max="2577" width="8.6328125" style="150" customWidth="1"/>
    <col min="2578" max="2578" width="4.6328125" style="150" customWidth="1"/>
    <col min="2579" max="2579" width="8.6328125" style="150" customWidth="1"/>
    <col min="2580" max="2580" width="4.6328125" style="150" customWidth="1"/>
    <col min="2581" max="2581" width="8.6328125" style="150" customWidth="1"/>
    <col min="2582" max="2582" width="4.6328125" style="150" customWidth="1"/>
    <col min="2583" max="2583" width="8.6328125" style="150" customWidth="1"/>
    <col min="2584" max="2584" width="4.6328125" style="150" customWidth="1"/>
    <col min="2585" max="2585" width="8.6328125" style="150" customWidth="1"/>
    <col min="2586" max="2586" width="4.6328125" style="150" customWidth="1"/>
    <col min="2587" max="2587" width="8.6328125" style="150" customWidth="1"/>
    <col min="2588" max="2588" width="4.6328125" style="150" customWidth="1"/>
    <col min="2589" max="2589" width="8.6328125" style="150" customWidth="1"/>
    <col min="2590" max="2590" width="4.6328125" style="150" customWidth="1"/>
    <col min="2591" max="2591" width="9.26953125" style="150" bestFit="1" customWidth="1"/>
    <col min="2592" max="2592" width="8.7265625" style="150"/>
    <col min="2593" max="2593" width="7.08984375" style="150" customWidth="1"/>
    <col min="2594" max="2816" width="8.7265625" style="150"/>
    <col min="2817" max="2817" width="5.6328125" style="150" customWidth="1"/>
    <col min="2818" max="2818" width="3" style="150" customWidth="1"/>
    <col min="2819" max="2819" width="15.36328125" style="150" customWidth="1"/>
    <col min="2820" max="2827" width="8.6328125" style="150" customWidth="1"/>
    <col min="2828" max="2828" width="4.6328125" style="150" customWidth="1"/>
    <col min="2829" max="2829" width="8.6328125" style="150" customWidth="1"/>
    <col min="2830" max="2830" width="4.6328125" style="150" customWidth="1"/>
    <col min="2831" max="2831" width="8.6328125" style="150" customWidth="1"/>
    <col min="2832" max="2832" width="4.6328125" style="150" customWidth="1"/>
    <col min="2833" max="2833" width="8.6328125" style="150" customWidth="1"/>
    <col min="2834" max="2834" width="4.6328125" style="150" customWidth="1"/>
    <col min="2835" max="2835" width="8.6328125" style="150" customWidth="1"/>
    <col min="2836" max="2836" width="4.6328125" style="150" customWidth="1"/>
    <col min="2837" max="2837" width="8.6328125" style="150" customWidth="1"/>
    <col min="2838" max="2838" width="4.6328125" style="150" customWidth="1"/>
    <col min="2839" max="2839" width="8.6328125" style="150" customWidth="1"/>
    <col min="2840" max="2840" width="4.6328125" style="150" customWidth="1"/>
    <col min="2841" max="2841" width="8.6328125" style="150" customWidth="1"/>
    <col min="2842" max="2842" width="4.6328125" style="150" customWidth="1"/>
    <col min="2843" max="2843" width="8.6328125" style="150" customWidth="1"/>
    <col min="2844" max="2844" width="4.6328125" style="150" customWidth="1"/>
    <col min="2845" max="2845" width="8.6328125" style="150" customWidth="1"/>
    <col min="2846" max="2846" width="4.6328125" style="150" customWidth="1"/>
    <col min="2847" max="2847" width="9.26953125" style="150" bestFit="1" customWidth="1"/>
    <col min="2848" max="2848" width="8.7265625" style="150"/>
    <col min="2849" max="2849" width="7.08984375" style="150" customWidth="1"/>
    <col min="2850" max="3072" width="8.7265625" style="150"/>
    <col min="3073" max="3073" width="5.6328125" style="150" customWidth="1"/>
    <col min="3074" max="3074" width="3" style="150" customWidth="1"/>
    <col min="3075" max="3075" width="15.36328125" style="150" customWidth="1"/>
    <col min="3076" max="3083" width="8.6328125" style="150" customWidth="1"/>
    <col min="3084" max="3084" width="4.6328125" style="150" customWidth="1"/>
    <col min="3085" max="3085" width="8.6328125" style="150" customWidth="1"/>
    <col min="3086" max="3086" width="4.6328125" style="150" customWidth="1"/>
    <col min="3087" max="3087" width="8.6328125" style="150" customWidth="1"/>
    <col min="3088" max="3088" width="4.6328125" style="150" customWidth="1"/>
    <col min="3089" max="3089" width="8.6328125" style="150" customWidth="1"/>
    <col min="3090" max="3090" width="4.6328125" style="150" customWidth="1"/>
    <col min="3091" max="3091" width="8.6328125" style="150" customWidth="1"/>
    <col min="3092" max="3092" width="4.6328125" style="150" customWidth="1"/>
    <col min="3093" max="3093" width="8.6328125" style="150" customWidth="1"/>
    <col min="3094" max="3094" width="4.6328125" style="150" customWidth="1"/>
    <col min="3095" max="3095" width="8.6328125" style="150" customWidth="1"/>
    <col min="3096" max="3096" width="4.6328125" style="150" customWidth="1"/>
    <col min="3097" max="3097" width="8.6328125" style="150" customWidth="1"/>
    <col min="3098" max="3098" width="4.6328125" style="150" customWidth="1"/>
    <col min="3099" max="3099" width="8.6328125" style="150" customWidth="1"/>
    <col min="3100" max="3100" width="4.6328125" style="150" customWidth="1"/>
    <col min="3101" max="3101" width="8.6328125" style="150" customWidth="1"/>
    <col min="3102" max="3102" width="4.6328125" style="150" customWidth="1"/>
    <col min="3103" max="3103" width="9.26953125" style="150" bestFit="1" customWidth="1"/>
    <col min="3104" max="3104" width="8.7265625" style="150"/>
    <col min="3105" max="3105" width="7.08984375" style="150" customWidth="1"/>
    <col min="3106" max="3328" width="8.7265625" style="150"/>
    <col min="3329" max="3329" width="5.6328125" style="150" customWidth="1"/>
    <col min="3330" max="3330" width="3" style="150" customWidth="1"/>
    <col min="3331" max="3331" width="15.36328125" style="150" customWidth="1"/>
    <col min="3332" max="3339" width="8.6328125" style="150" customWidth="1"/>
    <col min="3340" max="3340" width="4.6328125" style="150" customWidth="1"/>
    <col min="3341" max="3341" width="8.6328125" style="150" customWidth="1"/>
    <col min="3342" max="3342" width="4.6328125" style="150" customWidth="1"/>
    <col min="3343" max="3343" width="8.6328125" style="150" customWidth="1"/>
    <col min="3344" max="3344" width="4.6328125" style="150" customWidth="1"/>
    <col min="3345" max="3345" width="8.6328125" style="150" customWidth="1"/>
    <col min="3346" max="3346" width="4.6328125" style="150" customWidth="1"/>
    <col min="3347" max="3347" width="8.6328125" style="150" customWidth="1"/>
    <col min="3348" max="3348" width="4.6328125" style="150" customWidth="1"/>
    <col min="3349" max="3349" width="8.6328125" style="150" customWidth="1"/>
    <col min="3350" max="3350" width="4.6328125" style="150" customWidth="1"/>
    <col min="3351" max="3351" width="8.6328125" style="150" customWidth="1"/>
    <col min="3352" max="3352" width="4.6328125" style="150" customWidth="1"/>
    <col min="3353" max="3353" width="8.6328125" style="150" customWidth="1"/>
    <col min="3354" max="3354" width="4.6328125" style="150" customWidth="1"/>
    <col min="3355" max="3355" width="8.6328125" style="150" customWidth="1"/>
    <col min="3356" max="3356" width="4.6328125" style="150" customWidth="1"/>
    <col min="3357" max="3357" width="8.6328125" style="150" customWidth="1"/>
    <col min="3358" max="3358" width="4.6328125" style="150" customWidth="1"/>
    <col min="3359" max="3359" width="9.26953125" style="150" bestFit="1" customWidth="1"/>
    <col min="3360" max="3360" width="8.7265625" style="150"/>
    <col min="3361" max="3361" width="7.08984375" style="150" customWidth="1"/>
    <col min="3362" max="3584" width="8.7265625" style="150"/>
    <col min="3585" max="3585" width="5.6328125" style="150" customWidth="1"/>
    <col min="3586" max="3586" width="3" style="150" customWidth="1"/>
    <col min="3587" max="3587" width="15.36328125" style="150" customWidth="1"/>
    <col min="3588" max="3595" width="8.6328125" style="150" customWidth="1"/>
    <col min="3596" max="3596" width="4.6328125" style="150" customWidth="1"/>
    <col min="3597" max="3597" width="8.6328125" style="150" customWidth="1"/>
    <col min="3598" max="3598" width="4.6328125" style="150" customWidth="1"/>
    <col min="3599" max="3599" width="8.6328125" style="150" customWidth="1"/>
    <col min="3600" max="3600" width="4.6328125" style="150" customWidth="1"/>
    <col min="3601" max="3601" width="8.6328125" style="150" customWidth="1"/>
    <col min="3602" max="3602" width="4.6328125" style="150" customWidth="1"/>
    <col min="3603" max="3603" width="8.6328125" style="150" customWidth="1"/>
    <col min="3604" max="3604" width="4.6328125" style="150" customWidth="1"/>
    <col min="3605" max="3605" width="8.6328125" style="150" customWidth="1"/>
    <col min="3606" max="3606" width="4.6328125" style="150" customWidth="1"/>
    <col min="3607" max="3607" width="8.6328125" style="150" customWidth="1"/>
    <col min="3608" max="3608" width="4.6328125" style="150" customWidth="1"/>
    <col min="3609" max="3609" width="8.6328125" style="150" customWidth="1"/>
    <col min="3610" max="3610" width="4.6328125" style="150" customWidth="1"/>
    <col min="3611" max="3611" width="8.6328125" style="150" customWidth="1"/>
    <col min="3612" max="3612" width="4.6328125" style="150" customWidth="1"/>
    <col min="3613" max="3613" width="8.6328125" style="150" customWidth="1"/>
    <col min="3614" max="3614" width="4.6328125" style="150" customWidth="1"/>
    <col min="3615" max="3615" width="9.26953125" style="150" bestFit="1" customWidth="1"/>
    <col min="3616" max="3616" width="8.7265625" style="150"/>
    <col min="3617" max="3617" width="7.08984375" style="150" customWidth="1"/>
    <col min="3618" max="3840" width="8.7265625" style="150"/>
    <col min="3841" max="3841" width="5.6328125" style="150" customWidth="1"/>
    <col min="3842" max="3842" width="3" style="150" customWidth="1"/>
    <col min="3843" max="3843" width="15.36328125" style="150" customWidth="1"/>
    <col min="3844" max="3851" width="8.6328125" style="150" customWidth="1"/>
    <col min="3852" max="3852" width="4.6328125" style="150" customWidth="1"/>
    <col min="3853" max="3853" width="8.6328125" style="150" customWidth="1"/>
    <col min="3854" max="3854" width="4.6328125" style="150" customWidth="1"/>
    <col min="3855" max="3855" width="8.6328125" style="150" customWidth="1"/>
    <col min="3856" max="3856" width="4.6328125" style="150" customWidth="1"/>
    <col min="3857" max="3857" width="8.6328125" style="150" customWidth="1"/>
    <col min="3858" max="3858" width="4.6328125" style="150" customWidth="1"/>
    <col min="3859" max="3859" width="8.6328125" style="150" customWidth="1"/>
    <col min="3860" max="3860" width="4.6328125" style="150" customWidth="1"/>
    <col min="3861" max="3861" width="8.6328125" style="150" customWidth="1"/>
    <col min="3862" max="3862" width="4.6328125" style="150" customWidth="1"/>
    <col min="3863" max="3863" width="8.6328125" style="150" customWidth="1"/>
    <col min="3864" max="3864" width="4.6328125" style="150" customWidth="1"/>
    <col min="3865" max="3865" width="8.6328125" style="150" customWidth="1"/>
    <col min="3866" max="3866" width="4.6328125" style="150" customWidth="1"/>
    <col min="3867" max="3867" width="8.6328125" style="150" customWidth="1"/>
    <col min="3868" max="3868" width="4.6328125" style="150" customWidth="1"/>
    <col min="3869" max="3869" width="8.6328125" style="150" customWidth="1"/>
    <col min="3870" max="3870" width="4.6328125" style="150" customWidth="1"/>
    <col min="3871" max="3871" width="9.26953125" style="150" bestFit="1" customWidth="1"/>
    <col min="3872" max="3872" width="8.7265625" style="150"/>
    <col min="3873" max="3873" width="7.08984375" style="150" customWidth="1"/>
    <col min="3874" max="4096" width="8.7265625" style="150"/>
    <col min="4097" max="4097" width="5.6328125" style="150" customWidth="1"/>
    <col min="4098" max="4098" width="3" style="150" customWidth="1"/>
    <col min="4099" max="4099" width="15.36328125" style="150" customWidth="1"/>
    <col min="4100" max="4107" width="8.6328125" style="150" customWidth="1"/>
    <col min="4108" max="4108" width="4.6328125" style="150" customWidth="1"/>
    <col min="4109" max="4109" width="8.6328125" style="150" customWidth="1"/>
    <col min="4110" max="4110" width="4.6328125" style="150" customWidth="1"/>
    <col min="4111" max="4111" width="8.6328125" style="150" customWidth="1"/>
    <col min="4112" max="4112" width="4.6328125" style="150" customWidth="1"/>
    <col min="4113" max="4113" width="8.6328125" style="150" customWidth="1"/>
    <col min="4114" max="4114" width="4.6328125" style="150" customWidth="1"/>
    <col min="4115" max="4115" width="8.6328125" style="150" customWidth="1"/>
    <col min="4116" max="4116" width="4.6328125" style="150" customWidth="1"/>
    <col min="4117" max="4117" width="8.6328125" style="150" customWidth="1"/>
    <col min="4118" max="4118" width="4.6328125" style="150" customWidth="1"/>
    <col min="4119" max="4119" width="8.6328125" style="150" customWidth="1"/>
    <col min="4120" max="4120" width="4.6328125" style="150" customWidth="1"/>
    <col min="4121" max="4121" width="8.6328125" style="150" customWidth="1"/>
    <col min="4122" max="4122" width="4.6328125" style="150" customWidth="1"/>
    <col min="4123" max="4123" width="8.6328125" style="150" customWidth="1"/>
    <col min="4124" max="4124" width="4.6328125" style="150" customWidth="1"/>
    <col min="4125" max="4125" width="8.6328125" style="150" customWidth="1"/>
    <col min="4126" max="4126" width="4.6328125" style="150" customWidth="1"/>
    <col min="4127" max="4127" width="9.26953125" style="150" bestFit="1" customWidth="1"/>
    <col min="4128" max="4128" width="8.7265625" style="150"/>
    <col min="4129" max="4129" width="7.08984375" style="150" customWidth="1"/>
    <col min="4130" max="4352" width="8.7265625" style="150"/>
    <col min="4353" max="4353" width="5.6328125" style="150" customWidth="1"/>
    <col min="4354" max="4354" width="3" style="150" customWidth="1"/>
    <col min="4355" max="4355" width="15.36328125" style="150" customWidth="1"/>
    <col min="4356" max="4363" width="8.6328125" style="150" customWidth="1"/>
    <col min="4364" max="4364" width="4.6328125" style="150" customWidth="1"/>
    <col min="4365" max="4365" width="8.6328125" style="150" customWidth="1"/>
    <col min="4366" max="4366" width="4.6328125" style="150" customWidth="1"/>
    <col min="4367" max="4367" width="8.6328125" style="150" customWidth="1"/>
    <col min="4368" max="4368" width="4.6328125" style="150" customWidth="1"/>
    <col min="4369" max="4369" width="8.6328125" style="150" customWidth="1"/>
    <col min="4370" max="4370" width="4.6328125" style="150" customWidth="1"/>
    <col min="4371" max="4371" width="8.6328125" style="150" customWidth="1"/>
    <col min="4372" max="4372" width="4.6328125" style="150" customWidth="1"/>
    <col min="4373" max="4373" width="8.6328125" style="150" customWidth="1"/>
    <col min="4374" max="4374" width="4.6328125" style="150" customWidth="1"/>
    <col min="4375" max="4375" width="8.6328125" style="150" customWidth="1"/>
    <col min="4376" max="4376" width="4.6328125" style="150" customWidth="1"/>
    <col min="4377" max="4377" width="8.6328125" style="150" customWidth="1"/>
    <col min="4378" max="4378" width="4.6328125" style="150" customWidth="1"/>
    <col min="4379" max="4379" width="8.6328125" style="150" customWidth="1"/>
    <col min="4380" max="4380" width="4.6328125" style="150" customWidth="1"/>
    <col min="4381" max="4381" width="8.6328125" style="150" customWidth="1"/>
    <col min="4382" max="4382" width="4.6328125" style="150" customWidth="1"/>
    <col min="4383" max="4383" width="9.26953125" style="150" bestFit="1" customWidth="1"/>
    <col min="4384" max="4384" width="8.7265625" style="150"/>
    <col min="4385" max="4385" width="7.08984375" style="150" customWidth="1"/>
    <col min="4386" max="4608" width="8.7265625" style="150"/>
    <col min="4609" max="4609" width="5.6328125" style="150" customWidth="1"/>
    <col min="4610" max="4610" width="3" style="150" customWidth="1"/>
    <col min="4611" max="4611" width="15.36328125" style="150" customWidth="1"/>
    <col min="4612" max="4619" width="8.6328125" style="150" customWidth="1"/>
    <col min="4620" max="4620" width="4.6328125" style="150" customWidth="1"/>
    <col min="4621" max="4621" width="8.6328125" style="150" customWidth="1"/>
    <col min="4622" max="4622" width="4.6328125" style="150" customWidth="1"/>
    <col min="4623" max="4623" width="8.6328125" style="150" customWidth="1"/>
    <col min="4624" max="4624" width="4.6328125" style="150" customWidth="1"/>
    <col min="4625" max="4625" width="8.6328125" style="150" customWidth="1"/>
    <col min="4626" max="4626" width="4.6328125" style="150" customWidth="1"/>
    <col min="4627" max="4627" width="8.6328125" style="150" customWidth="1"/>
    <col min="4628" max="4628" width="4.6328125" style="150" customWidth="1"/>
    <col min="4629" max="4629" width="8.6328125" style="150" customWidth="1"/>
    <col min="4630" max="4630" width="4.6328125" style="150" customWidth="1"/>
    <col min="4631" max="4631" width="8.6328125" style="150" customWidth="1"/>
    <col min="4632" max="4632" width="4.6328125" style="150" customWidth="1"/>
    <col min="4633" max="4633" width="8.6328125" style="150" customWidth="1"/>
    <col min="4634" max="4634" width="4.6328125" style="150" customWidth="1"/>
    <col min="4635" max="4635" width="8.6328125" style="150" customWidth="1"/>
    <col min="4636" max="4636" width="4.6328125" style="150" customWidth="1"/>
    <col min="4637" max="4637" width="8.6328125" style="150" customWidth="1"/>
    <col min="4638" max="4638" width="4.6328125" style="150" customWidth="1"/>
    <col min="4639" max="4639" width="9.26953125" style="150" bestFit="1" customWidth="1"/>
    <col min="4640" max="4640" width="8.7265625" style="150"/>
    <col min="4641" max="4641" width="7.08984375" style="150" customWidth="1"/>
    <col min="4642" max="4864" width="8.7265625" style="150"/>
    <col min="4865" max="4865" width="5.6328125" style="150" customWidth="1"/>
    <col min="4866" max="4866" width="3" style="150" customWidth="1"/>
    <col min="4867" max="4867" width="15.36328125" style="150" customWidth="1"/>
    <col min="4868" max="4875" width="8.6328125" style="150" customWidth="1"/>
    <col min="4876" max="4876" width="4.6328125" style="150" customWidth="1"/>
    <col min="4877" max="4877" width="8.6328125" style="150" customWidth="1"/>
    <col min="4878" max="4878" width="4.6328125" style="150" customWidth="1"/>
    <col min="4879" max="4879" width="8.6328125" style="150" customWidth="1"/>
    <col min="4880" max="4880" width="4.6328125" style="150" customWidth="1"/>
    <col min="4881" max="4881" width="8.6328125" style="150" customWidth="1"/>
    <col min="4882" max="4882" width="4.6328125" style="150" customWidth="1"/>
    <col min="4883" max="4883" width="8.6328125" style="150" customWidth="1"/>
    <col min="4884" max="4884" width="4.6328125" style="150" customWidth="1"/>
    <col min="4885" max="4885" width="8.6328125" style="150" customWidth="1"/>
    <col min="4886" max="4886" width="4.6328125" style="150" customWidth="1"/>
    <col min="4887" max="4887" width="8.6328125" style="150" customWidth="1"/>
    <col min="4888" max="4888" width="4.6328125" style="150" customWidth="1"/>
    <col min="4889" max="4889" width="8.6328125" style="150" customWidth="1"/>
    <col min="4890" max="4890" width="4.6328125" style="150" customWidth="1"/>
    <col min="4891" max="4891" width="8.6328125" style="150" customWidth="1"/>
    <col min="4892" max="4892" width="4.6328125" style="150" customWidth="1"/>
    <col min="4893" max="4893" width="8.6328125" style="150" customWidth="1"/>
    <col min="4894" max="4894" width="4.6328125" style="150" customWidth="1"/>
    <col min="4895" max="4895" width="9.26953125" style="150" bestFit="1" customWidth="1"/>
    <col min="4896" max="4896" width="8.7265625" style="150"/>
    <col min="4897" max="4897" width="7.08984375" style="150" customWidth="1"/>
    <col min="4898" max="5120" width="8.7265625" style="150"/>
    <col min="5121" max="5121" width="5.6328125" style="150" customWidth="1"/>
    <col min="5122" max="5122" width="3" style="150" customWidth="1"/>
    <col min="5123" max="5123" width="15.36328125" style="150" customWidth="1"/>
    <col min="5124" max="5131" width="8.6328125" style="150" customWidth="1"/>
    <col min="5132" max="5132" width="4.6328125" style="150" customWidth="1"/>
    <col min="5133" max="5133" width="8.6328125" style="150" customWidth="1"/>
    <col min="5134" max="5134" width="4.6328125" style="150" customWidth="1"/>
    <col min="5135" max="5135" width="8.6328125" style="150" customWidth="1"/>
    <col min="5136" max="5136" width="4.6328125" style="150" customWidth="1"/>
    <col min="5137" max="5137" width="8.6328125" style="150" customWidth="1"/>
    <col min="5138" max="5138" width="4.6328125" style="150" customWidth="1"/>
    <col min="5139" max="5139" width="8.6328125" style="150" customWidth="1"/>
    <col min="5140" max="5140" width="4.6328125" style="150" customWidth="1"/>
    <col min="5141" max="5141" width="8.6328125" style="150" customWidth="1"/>
    <col min="5142" max="5142" width="4.6328125" style="150" customWidth="1"/>
    <col min="5143" max="5143" width="8.6328125" style="150" customWidth="1"/>
    <col min="5144" max="5144" width="4.6328125" style="150" customWidth="1"/>
    <col min="5145" max="5145" width="8.6328125" style="150" customWidth="1"/>
    <col min="5146" max="5146" width="4.6328125" style="150" customWidth="1"/>
    <col min="5147" max="5147" width="8.6328125" style="150" customWidth="1"/>
    <col min="5148" max="5148" width="4.6328125" style="150" customWidth="1"/>
    <col min="5149" max="5149" width="8.6328125" style="150" customWidth="1"/>
    <col min="5150" max="5150" width="4.6328125" style="150" customWidth="1"/>
    <col min="5151" max="5151" width="9.26953125" style="150" bestFit="1" customWidth="1"/>
    <col min="5152" max="5152" width="8.7265625" style="150"/>
    <col min="5153" max="5153" width="7.08984375" style="150" customWidth="1"/>
    <col min="5154" max="5376" width="8.7265625" style="150"/>
    <col min="5377" max="5377" width="5.6328125" style="150" customWidth="1"/>
    <col min="5378" max="5378" width="3" style="150" customWidth="1"/>
    <col min="5379" max="5379" width="15.36328125" style="150" customWidth="1"/>
    <col min="5380" max="5387" width="8.6328125" style="150" customWidth="1"/>
    <col min="5388" max="5388" width="4.6328125" style="150" customWidth="1"/>
    <col min="5389" max="5389" width="8.6328125" style="150" customWidth="1"/>
    <col min="5390" max="5390" width="4.6328125" style="150" customWidth="1"/>
    <col min="5391" max="5391" width="8.6328125" style="150" customWidth="1"/>
    <col min="5392" max="5392" width="4.6328125" style="150" customWidth="1"/>
    <col min="5393" max="5393" width="8.6328125" style="150" customWidth="1"/>
    <col min="5394" max="5394" width="4.6328125" style="150" customWidth="1"/>
    <col min="5395" max="5395" width="8.6328125" style="150" customWidth="1"/>
    <col min="5396" max="5396" width="4.6328125" style="150" customWidth="1"/>
    <col min="5397" max="5397" width="8.6328125" style="150" customWidth="1"/>
    <col min="5398" max="5398" width="4.6328125" style="150" customWidth="1"/>
    <col min="5399" max="5399" width="8.6328125" style="150" customWidth="1"/>
    <col min="5400" max="5400" width="4.6328125" style="150" customWidth="1"/>
    <col min="5401" max="5401" width="8.6328125" style="150" customWidth="1"/>
    <col min="5402" max="5402" width="4.6328125" style="150" customWidth="1"/>
    <col min="5403" max="5403" width="8.6328125" style="150" customWidth="1"/>
    <col min="5404" max="5404" width="4.6328125" style="150" customWidth="1"/>
    <col min="5405" max="5405" width="8.6328125" style="150" customWidth="1"/>
    <col min="5406" max="5406" width="4.6328125" style="150" customWidth="1"/>
    <col min="5407" max="5407" width="9.26953125" style="150" bestFit="1" customWidth="1"/>
    <col min="5408" max="5408" width="8.7265625" style="150"/>
    <col min="5409" max="5409" width="7.08984375" style="150" customWidth="1"/>
    <col min="5410" max="5632" width="8.7265625" style="150"/>
    <col min="5633" max="5633" width="5.6328125" style="150" customWidth="1"/>
    <col min="5634" max="5634" width="3" style="150" customWidth="1"/>
    <col min="5635" max="5635" width="15.36328125" style="150" customWidth="1"/>
    <col min="5636" max="5643" width="8.6328125" style="150" customWidth="1"/>
    <col min="5644" max="5644" width="4.6328125" style="150" customWidth="1"/>
    <col min="5645" max="5645" width="8.6328125" style="150" customWidth="1"/>
    <col min="5646" max="5646" width="4.6328125" style="150" customWidth="1"/>
    <col min="5647" max="5647" width="8.6328125" style="150" customWidth="1"/>
    <col min="5648" max="5648" width="4.6328125" style="150" customWidth="1"/>
    <col min="5649" max="5649" width="8.6328125" style="150" customWidth="1"/>
    <col min="5650" max="5650" width="4.6328125" style="150" customWidth="1"/>
    <col min="5651" max="5651" width="8.6328125" style="150" customWidth="1"/>
    <col min="5652" max="5652" width="4.6328125" style="150" customWidth="1"/>
    <col min="5653" max="5653" width="8.6328125" style="150" customWidth="1"/>
    <col min="5654" max="5654" width="4.6328125" style="150" customWidth="1"/>
    <col min="5655" max="5655" width="8.6328125" style="150" customWidth="1"/>
    <col min="5656" max="5656" width="4.6328125" style="150" customWidth="1"/>
    <col min="5657" max="5657" width="8.6328125" style="150" customWidth="1"/>
    <col min="5658" max="5658" width="4.6328125" style="150" customWidth="1"/>
    <col min="5659" max="5659" width="8.6328125" style="150" customWidth="1"/>
    <col min="5660" max="5660" width="4.6328125" style="150" customWidth="1"/>
    <col min="5661" max="5661" width="8.6328125" style="150" customWidth="1"/>
    <col min="5662" max="5662" width="4.6328125" style="150" customWidth="1"/>
    <col min="5663" max="5663" width="9.26953125" style="150" bestFit="1" customWidth="1"/>
    <col min="5664" max="5664" width="8.7265625" style="150"/>
    <col min="5665" max="5665" width="7.08984375" style="150" customWidth="1"/>
    <col min="5666" max="5888" width="8.7265625" style="150"/>
    <col min="5889" max="5889" width="5.6328125" style="150" customWidth="1"/>
    <col min="5890" max="5890" width="3" style="150" customWidth="1"/>
    <col min="5891" max="5891" width="15.36328125" style="150" customWidth="1"/>
    <col min="5892" max="5899" width="8.6328125" style="150" customWidth="1"/>
    <col min="5900" max="5900" width="4.6328125" style="150" customWidth="1"/>
    <col min="5901" max="5901" width="8.6328125" style="150" customWidth="1"/>
    <col min="5902" max="5902" width="4.6328125" style="150" customWidth="1"/>
    <col min="5903" max="5903" width="8.6328125" style="150" customWidth="1"/>
    <col min="5904" max="5904" width="4.6328125" style="150" customWidth="1"/>
    <col min="5905" max="5905" width="8.6328125" style="150" customWidth="1"/>
    <col min="5906" max="5906" width="4.6328125" style="150" customWidth="1"/>
    <col min="5907" max="5907" width="8.6328125" style="150" customWidth="1"/>
    <col min="5908" max="5908" width="4.6328125" style="150" customWidth="1"/>
    <col min="5909" max="5909" width="8.6328125" style="150" customWidth="1"/>
    <col min="5910" max="5910" width="4.6328125" style="150" customWidth="1"/>
    <col min="5911" max="5911" width="8.6328125" style="150" customWidth="1"/>
    <col min="5912" max="5912" width="4.6328125" style="150" customWidth="1"/>
    <col min="5913" max="5913" width="8.6328125" style="150" customWidth="1"/>
    <col min="5914" max="5914" width="4.6328125" style="150" customWidth="1"/>
    <col min="5915" max="5915" width="8.6328125" style="150" customWidth="1"/>
    <col min="5916" max="5916" width="4.6328125" style="150" customWidth="1"/>
    <col min="5917" max="5917" width="8.6328125" style="150" customWidth="1"/>
    <col min="5918" max="5918" width="4.6328125" style="150" customWidth="1"/>
    <col min="5919" max="5919" width="9.26953125" style="150" bestFit="1" customWidth="1"/>
    <col min="5920" max="5920" width="8.7265625" style="150"/>
    <col min="5921" max="5921" width="7.08984375" style="150" customWidth="1"/>
    <col min="5922" max="6144" width="8.7265625" style="150"/>
    <col min="6145" max="6145" width="5.6328125" style="150" customWidth="1"/>
    <col min="6146" max="6146" width="3" style="150" customWidth="1"/>
    <col min="6147" max="6147" width="15.36328125" style="150" customWidth="1"/>
    <col min="6148" max="6155" width="8.6328125" style="150" customWidth="1"/>
    <col min="6156" max="6156" width="4.6328125" style="150" customWidth="1"/>
    <col min="6157" max="6157" width="8.6328125" style="150" customWidth="1"/>
    <col min="6158" max="6158" width="4.6328125" style="150" customWidth="1"/>
    <col min="6159" max="6159" width="8.6328125" style="150" customWidth="1"/>
    <col min="6160" max="6160" width="4.6328125" style="150" customWidth="1"/>
    <col min="6161" max="6161" width="8.6328125" style="150" customWidth="1"/>
    <col min="6162" max="6162" width="4.6328125" style="150" customWidth="1"/>
    <col min="6163" max="6163" width="8.6328125" style="150" customWidth="1"/>
    <col min="6164" max="6164" width="4.6328125" style="150" customWidth="1"/>
    <col min="6165" max="6165" width="8.6328125" style="150" customWidth="1"/>
    <col min="6166" max="6166" width="4.6328125" style="150" customWidth="1"/>
    <col min="6167" max="6167" width="8.6328125" style="150" customWidth="1"/>
    <col min="6168" max="6168" width="4.6328125" style="150" customWidth="1"/>
    <col min="6169" max="6169" width="8.6328125" style="150" customWidth="1"/>
    <col min="6170" max="6170" width="4.6328125" style="150" customWidth="1"/>
    <col min="6171" max="6171" width="8.6328125" style="150" customWidth="1"/>
    <col min="6172" max="6172" width="4.6328125" style="150" customWidth="1"/>
    <col min="6173" max="6173" width="8.6328125" style="150" customWidth="1"/>
    <col min="6174" max="6174" width="4.6328125" style="150" customWidth="1"/>
    <col min="6175" max="6175" width="9.26953125" style="150" bestFit="1" customWidth="1"/>
    <col min="6176" max="6176" width="8.7265625" style="150"/>
    <col min="6177" max="6177" width="7.08984375" style="150" customWidth="1"/>
    <col min="6178" max="6400" width="8.7265625" style="150"/>
    <col min="6401" max="6401" width="5.6328125" style="150" customWidth="1"/>
    <col min="6402" max="6402" width="3" style="150" customWidth="1"/>
    <col min="6403" max="6403" width="15.36328125" style="150" customWidth="1"/>
    <col min="6404" max="6411" width="8.6328125" style="150" customWidth="1"/>
    <col min="6412" max="6412" width="4.6328125" style="150" customWidth="1"/>
    <col min="6413" max="6413" width="8.6328125" style="150" customWidth="1"/>
    <col min="6414" max="6414" width="4.6328125" style="150" customWidth="1"/>
    <col min="6415" max="6415" width="8.6328125" style="150" customWidth="1"/>
    <col min="6416" max="6416" width="4.6328125" style="150" customWidth="1"/>
    <col min="6417" max="6417" width="8.6328125" style="150" customWidth="1"/>
    <col min="6418" max="6418" width="4.6328125" style="150" customWidth="1"/>
    <col min="6419" max="6419" width="8.6328125" style="150" customWidth="1"/>
    <col min="6420" max="6420" width="4.6328125" style="150" customWidth="1"/>
    <col min="6421" max="6421" width="8.6328125" style="150" customWidth="1"/>
    <col min="6422" max="6422" width="4.6328125" style="150" customWidth="1"/>
    <col min="6423" max="6423" width="8.6328125" style="150" customWidth="1"/>
    <col min="6424" max="6424" width="4.6328125" style="150" customWidth="1"/>
    <col min="6425" max="6425" width="8.6328125" style="150" customWidth="1"/>
    <col min="6426" max="6426" width="4.6328125" style="150" customWidth="1"/>
    <col min="6427" max="6427" width="8.6328125" style="150" customWidth="1"/>
    <col min="6428" max="6428" width="4.6328125" style="150" customWidth="1"/>
    <col min="6429" max="6429" width="8.6328125" style="150" customWidth="1"/>
    <col min="6430" max="6430" width="4.6328125" style="150" customWidth="1"/>
    <col min="6431" max="6431" width="9.26953125" style="150" bestFit="1" customWidth="1"/>
    <col min="6432" max="6432" width="8.7265625" style="150"/>
    <col min="6433" max="6433" width="7.08984375" style="150" customWidth="1"/>
    <col min="6434" max="6656" width="8.7265625" style="150"/>
    <col min="6657" max="6657" width="5.6328125" style="150" customWidth="1"/>
    <col min="6658" max="6658" width="3" style="150" customWidth="1"/>
    <col min="6659" max="6659" width="15.36328125" style="150" customWidth="1"/>
    <col min="6660" max="6667" width="8.6328125" style="150" customWidth="1"/>
    <col min="6668" max="6668" width="4.6328125" style="150" customWidth="1"/>
    <col min="6669" max="6669" width="8.6328125" style="150" customWidth="1"/>
    <col min="6670" max="6670" width="4.6328125" style="150" customWidth="1"/>
    <col min="6671" max="6671" width="8.6328125" style="150" customWidth="1"/>
    <col min="6672" max="6672" width="4.6328125" style="150" customWidth="1"/>
    <col min="6673" max="6673" width="8.6328125" style="150" customWidth="1"/>
    <col min="6674" max="6674" width="4.6328125" style="150" customWidth="1"/>
    <col min="6675" max="6675" width="8.6328125" style="150" customWidth="1"/>
    <col min="6676" max="6676" width="4.6328125" style="150" customWidth="1"/>
    <col min="6677" max="6677" width="8.6328125" style="150" customWidth="1"/>
    <col min="6678" max="6678" width="4.6328125" style="150" customWidth="1"/>
    <col min="6679" max="6679" width="8.6328125" style="150" customWidth="1"/>
    <col min="6680" max="6680" width="4.6328125" style="150" customWidth="1"/>
    <col min="6681" max="6681" width="8.6328125" style="150" customWidth="1"/>
    <col min="6682" max="6682" width="4.6328125" style="150" customWidth="1"/>
    <col min="6683" max="6683" width="8.6328125" style="150" customWidth="1"/>
    <col min="6684" max="6684" width="4.6328125" style="150" customWidth="1"/>
    <col min="6685" max="6685" width="8.6328125" style="150" customWidth="1"/>
    <col min="6686" max="6686" width="4.6328125" style="150" customWidth="1"/>
    <col min="6687" max="6687" width="9.26953125" style="150" bestFit="1" customWidth="1"/>
    <col min="6688" max="6688" width="8.7265625" style="150"/>
    <col min="6689" max="6689" width="7.08984375" style="150" customWidth="1"/>
    <col min="6690" max="6912" width="8.7265625" style="150"/>
    <col min="6913" max="6913" width="5.6328125" style="150" customWidth="1"/>
    <col min="6914" max="6914" width="3" style="150" customWidth="1"/>
    <col min="6915" max="6915" width="15.36328125" style="150" customWidth="1"/>
    <col min="6916" max="6923" width="8.6328125" style="150" customWidth="1"/>
    <col min="6924" max="6924" width="4.6328125" style="150" customWidth="1"/>
    <col min="6925" max="6925" width="8.6328125" style="150" customWidth="1"/>
    <col min="6926" max="6926" width="4.6328125" style="150" customWidth="1"/>
    <col min="6927" max="6927" width="8.6328125" style="150" customWidth="1"/>
    <col min="6928" max="6928" width="4.6328125" style="150" customWidth="1"/>
    <col min="6929" max="6929" width="8.6328125" style="150" customWidth="1"/>
    <col min="6930" max="6930" width="4.6328125" style="150" customWidth="1"/>
    <col min="6931" max="6931" width="8.6328125" style="150" customWidth="1"/>
    <col min="6932" max="6932" width="4.6328125" style="150" customWidth="1"/>
    <col min="6933" max="6933" width="8.6328125" style="150" customWidth="1"/>
    <col min="6934" max="6934" width="4.6328125" style="150" customWidth="1"/>
    <col min="6935" max="6935" width="8.6328125" style="150" customWidth="1"/>
    <col min="6936" max="6936" width="4.6328125" style="150" customWidth="1"/>
    <col min="6937" max="6937" width="8.6328125" style="150" customWidth="1"/>
    <col min="6938" max="6938" width="4.6328125" style="150" customWidth="1"/>
    <col min="6939" max="6939" width="8.6328125" style="150" customWidth="1"/>
    <col min="6940" max="6940" width="4.6328125" style="150" customWidth="1"/>
    <col min="6941" max="6941" width="8.6328125" style="150" customWidth="1"/>
    <col min="6942" max="6942" width="4.6328125" style="150" customWidth="1"/>
    <col min="6943" max="6943" width="9.26953125" style="150" bestFit="1" customWidth="1"/>
    <col min="6944" max="6944" width="8.7265625" style="150"/>
    <col min="6945" max="6945" width="7.08984375" style="150" customWidth="1"/>
    <col min="6946" max="7168" width="8.7265625" style="150"/>
    <col min="7169" max="7169" width="5.6328125" style="150" customWidth="1"/>
    <col min="7170" max="7170" width="3" style="150" customWidth="1"/>
    <col min="7171" max="7171" width="15.36328125" style="150" customWidth="1"/>
    <col min="7172" max="7179" width="8.6328125" style="150" customWidth="1"/>
    <col min="7180" max="7180" width="4.6328125" style="150" customWidth="1"/>
    <col min="7181" max="7181" width="8.6328125" style="150" customWidth="1"/>
    <col min="7182" max="7182" width="4.6328125" style="150" customWidth="1"/>
    <col min="7183" max="7183" width="8.6328125" style="150" customWidth="1"/>
    <col min="7184" max="7184" width="4.6328125" style="150" customWidth="1"/>
    <col min="7185" max="7185" width="8.6328125" style="150" customWidth="1"/>
    <col min="7186" max="7186" width="4.6328125" style="150" customWidth="1"/>
    <col min="7187" max="7187" width="8.6328125" style="150" customWidth="1"/>
    <col min="7188" max="7188" width="4.6328125" style="150" customWidth="1"/>
    <col min="7189" max="7189" width="8.6328125" style="150" customWidth="1"/>
    <col min="7190" max="7190" width="4.6328125" style="150" customWidth="1"/>
    <col min="7191" max="7191" width="8.6328125" style="150" customWidth="1"/>
    <col min="7192" max="7192" width="4.6328125" style="150" customWidth="1"/>
    <col min="7193" max="7193" width="8.6328125" style="150" customWidth="1"/>
    <col min="7194" max="7194" width="4.6328125" style="150" customWidth="1"/>
    <col min="7195" max="7195" width="8.6328125" style="150" customWidth="1"/>
    <col min="7196" max="7196" width="4.6328125" style="150" customWidth="1"/>
    <col min="7197" max="7197" width="8.6328125" style="150" customWidth="1"/>
    <col min="7198" max="7198" width="4.6328125" style="150" customWidth="1"/>
    <col min="7199" max="7199" width="9.26953125" style="150" bestFit="1" customWidth="1"/>
    <col min="7200" max="7200" width="8.7265625" style="150"/>
    <col min="7201" max="7201" width="7.08984375" style="150" customWidth="1"/>
    <col min="7202" max="7424" width="8.7265625" style="150"/>
    <col min="7425" max="7425" width="5.6328125" style="150" customWidth="1"/>
    <col min="7426" max="7426" width="3" style="150" customWidth="1"/>
    <col min="7427" max="7427" width="15.36328125" style="150" customWidth="1"/>
    <col min="7428" max="7435" width="8.6328125" style="150" customWidth="1"/>
    <col min="7436" max="7436" width="4.6328125" style="150" customWidth="1"/>
    <col min="7437" max="7437" width="8.6328125" style="150" customWidth="1"/>
    <col min="7438" max="7438" width="4.6328125" style="150" customWidth="1"/>
    <col min="7439" max="7439" width="8.6328125" style="150" customWidth="1"/>
    <col min="7440" max="7440" width="4.6328125" style="150" customWidth="1"/>
    <col min="7441" max="7441" width="8.6328125" style="150" customWidth="1"/>
    <col min="7442" max="7442" width="4.6328125" style="150" customWidth="1"/>
    <col min="7443" max="7443" width="8.6328125" style="150" customWidth="1"/>
    <col min="7444" max="7444" width="4.6328125" style="150" customWidth="1"/>
    <col min="7445" max="7445" width="8.6328125" style="150" customWidth="1"/>
    <col min="7446" max="7446" width="4.6328125" style="150" customWidth="1"/>
    <col min="7447" max="7447" width="8.6328125" style="150" customWidth="1"/>
    <col min="7448" max="7448" width="4.6328125" style="150" customWidth="1"/>
    <col min="7449" max="7449" width="8.6328125" style="150" customWidth="1"/>
    <col min="7450" max="7450" width="4.6328125" style="150" customWidth="1"/>
    <col min="7451" max="7451" width="8.6328125" style="150" customWidth="1"/>
    <col min="7452" max="7452" width="4.6328125" style="150" customWidth="1"/>
    <col min="7453" max="7453" width="8.6328125" style="150" customWidth="1"/>
    <col min="7454" max="7454" width="4.6328125" style="150" customWidth="1"/>
    <col min="7455" max="7455" width="9.26953125" style="150" bestFit="1" customWidth="1"/>
    <col min="7456" max="7456" width="8.7265625" style="150"/>
    <col min="7457" max="7457" width="7.08984375" style="150" customWidth="1"/>
    <col min="7458" max="7680" width="8.7265625" style="150"/>
    <col min="7681" max="7681" width="5.6328125" style="150" customWidth="1"/>
    <col min="7682" max="7682" width="3" style="150" customWidth="1"/>
    <col min="7683" max="7683" width="15.36328125" style="150" customWidth="1"/>
    <col min="7684" max="7691" width="8.6328125" style="150" customWidth="1"/>
    <col min="7692" max="7692" width="4.6328125" style="150" customWidth="1"/>
    <col min="7693" max="7693" width="8.6328125" style="150" customWidth="1"/>
    <col min="7694" max="7694" width="4.6328125" style="150" customWidth="1"/>
    <col min="7695" max="7695" width="8.6328125" style="150" customWidth="1"/>
    <col min="7696" max="7696" width="4.6328125" style="150" customWidth="1"/>
    <col min="7697" max="7697" width="8.6328125" style="150" customWidth="1"/>
    <col min="7698" max="7698" width="4.6328125" style="150" customWidth="1"/>
    <col min="7699" max="7699" width="8.6328125" style="150" customWidth="1"/>
    <col min="7700" max="7700" width="4.6328125" style="150" customWidth="1"/>
    <col min="7701" max="7701" width="8.6328125" style="150" customWidth="1"/>
    <col min="7702" max="7702" width="4.6328125" style="150" customWidth="1"/>
    <col min="7703" max="7703" width="8.6328125" style="150" customWidth="1"/>
    <col min="7704" max="7704" width="4.6328125" style="150" customWidth="1"/>
    <col min="7705" max="7705" width="8.6328125" style="150" customWidth="1"/>
    <col min="7706" max="7706" width="4.6328125" style="150" customWidth="1"/>
    <col min="7707" max="7707" width="8.6328125" style="150" customWidth="1"/>
    <col min="7708" max="7708" width="4.6328125" style="150" customWidth="1"/>
    <col min="7709" max="7709" width="8.6328125" style="150" customWidth="1"/>
    <col min="7710" max="7710" width="4.6328125" style="150" customWidth="1"/>
    <col min="7711" max="7711" width="9.26953125" style="150" bestFit="1" customWidth="1"/>
    <col min="7712" max="7712" width="8.7265625" style="150"/>
    <col min="7713" max="7713" width="7.08984375" style="150" customWidth="1"/>
    <col min="7714" max="7936" width="8.7265625" style="150"/>
    <col min="7937" max="7937" width="5.6328125" style="150" customWidth="1"/>
    <col min="7938" max="7938" width="3" style="150" customWidth="1"/>
    <col min="7939" max="7939" width="15.36328125" style="150" customWidth="1"/>
    <col min="7940" max="7947" width="8.6328125" style="150" customWidth="1"/>
    <col min="7948" max="7948" width="4.6328125" style="150" customWidth="1"/>
    <col min="7949" max="7949" width="8.6328125" style="150" customWidth="1"/>
    <col min="7950" max="7950" width="4.6328125" style="150" customWidth="1"/>
    <col min="7951" max="7951" width="8.6328125" style="150" customWidth="1"/>
    <col min="7952" max="7952" width="4.6328125" style="150" customWidth="1"/>
    <col min="7953" max="7953" width="8.6328125" style="150" customWidth="1"/>
    <col min="7954" max="7954" width="4.6328125" style="150" customWidth="1"/>
    <col min="7955" max="7955" width="8.6328125" style="150" customWidth="1"/>
    <col min="7956" max="7956" width="4.6328125" style="150" customWidth="1"/>
    <col min="7957" max="7957" width="8.6328125" style="150" customWidth="1"/>
    <col min="7958" max="7958" width="4.6328125" style="150" customWidth="1"/>
    <col min="7959" max="7959" width="8.6328125" style="150" customWidth="1"/>
    <col min="7960" max="7960" width="4.6328125" style="150" customWidth="1"/>
    <col min="7961" max="7961" width="8.6328125" style="150" customWidth="1"/>
    <col min="7962" max="7962" width="4.6328125" style="150" customWidth="1"/>
    <col min="7963" max="7963" width="8.6328125" style="150" customWidth="1"/>
    <col min="7964" max="7964" width="4.6328125" style="150" customWidth="1"/>
    <col min="7965" max="7965" width="8.6328125" style="150" customWidth="1"/>
    <col min="7966" max="7966" width="4.6328125" style="150" customWidth="1"/>
    <col min="7967" max="7967" width="9.26953125" style="150" bestFit="1" customWidth="1"/>
    <col min="7968" max="7968" width="8.7265625" style="150"/>
    <col min="7969" max="7969" width="7.08984375" style="150" customWidth="1"/>
    <col min="7970" max="8192" width="8.7265625" style="150"/>
    <col min="8193" max="8193" width="5.6328125" style="150" customWidth="1"/>
    <col min="8194" max="8194" width="3" style="150" customWidth="1"/>
    <col min="8195" max="8195" width="15.36328125" style="150" customWidth="1"/>
    <col min="8196" max="8203" width="8.6328125" style="150" customWidth="1"/>
    <col min="8204" max="8204" width="4.6328125" style="150" customWidth="1"/>
    <col min="8205" max="8205" width="8.6328125" style="150" customWidth="1"/>
    <col min="8206" max="8206" width="4.6328125" style="150" customWidth="1"/>
    <col min="8207" max="8207" width="8.6328125" style="150" customWidth="1"/>
    <col min="8208" max="8208" width="4.6328125" style="150" customWidth="1"/>
    <col min="8209" max="8209" width="8.6328125" style="150" customWidth="1"/>
    <col min="8210" max="8210" width="4.6328125" style="150" customWidth="1"/>
    <col min="8211" max="8211" width="8.6328125" style="150" customWidth="1"/>
    <col min="8212" max="8212" width="4.6328125" style="150" customWidth="1"/>
    <col min="8213" max="8213" width="8.6328125" style="150" customWidth="1"/>
    <col min="8214" max="8214" width="4.6328125" style="150" customWidth="1"/>
    <col min="8215" max="8215" width="8.6328125" style="150" customWidth="1"/>
    <col min="8216" max="8216" width="4.6328125" style="150" customWidth="1"/>
    <col min="8217" max="8217" width="8.6328125" style="150" customWidth="1"/>
    <col min="8218" max="8218" width="4.6328125" style="150" customWidth="1"/>
    <col min="8219" max="8219" width="8.6328125" style="150" customWidth="1"/>
    <col min="8220" max="8220" width="4.6328125" style="150" customWidth="1"/>
    <col min="8221" max="8221" width="8.6328125" style="150" customWidth="1"/>
    <col min="8222" max="8222" width="4.6328125" style="150" customWidth="1"/>
    <col min="8223" max="8223" width="9.26953125" style="150" bestFit="1" customWidth="1"/>
    <col min="8224" max="8224" width="8.7265625" style="150"/>
    <col min="8225" max="8225" width="7.08984375" style="150" customWidth="1"/>
    <col min="8226" max="8448" width="8.7265625" style="150"/>
    <col min="8449" max="8449" width="5.6328125" style="150" customWidth="1"/>
    <col min="8450" max="8450" width="3" style="150" customWidth="1"/>
    <col min="8451" max="8451" width="15.36328125" style="150" customWidth="1"/>
    <col min="8452" max="8459" width="8.6328125" style="150" customWidth="1"/>
    <col min="8460" max="8460" width="4.6328125" style="150" customWidth="1"/>
    <col min="8461" max="8461" width="8.6328125" style="150" customWidth="1"/>
    <col min="8462" max="8462" width="4.6328125" style="150" customWidth="1"/>
    <col min="8463" max="8463" width="8.6328125" style="150" customWidth="1"/>
    <col min="8464" max="8464" width="4.6328125" style="150" customWidth="1"/>
    <col min="8465" max="8465" width="8.6328125" style="150" customWidth="1"/>
    <col min="8466" max="8466" width="4.6328125" style="150" customWidth="1"/>
    <col min="8467" max="8467" width="8.6328125" style="150" customWidth="1"/>
    <col min="8468" max="8468" width="4.6328125" style="150" customWidth="1"/>
    <col min="8469" max="8469" width="8.6328125" style="150" customWidth="1"/>
    <col min="8470" max="8470" width="4.6328125" style="150" customWidth="1"/>
    <col min="8471" max="8471" width="8.6328125" style="150" customWidth="1"/>
    <col min="8472" max="8472" width="4.6328125" style="150" customWidth="1"/>
    <col min="8473" max="8473" width="8.6328125" style="150" customWidth="1"/>
    <col min="8474" max="8474" width="4.6328125" style="150" customWidth="1"/>
    <col min="8475" max="8475" width="8.6328125" style="150" customWidth="1"/>
    <col min="8476" max="8476" width="4.6328125" style="150" customWidth="1"/>
    <col min="8477" max="8477" width="8.6328125" style="150" customWidth="1"/>
    <col min="8478" max="8478" width="4.6328125" style="150" customWidth="1"/>
    <col min="8479" max="8479" width="9.26953125" style="150" bestFit="1" customWidth="1"/>
    <col min="8480" max="8480" width="8.7265625" style="150"/>
    <col min="8481" max="8481" width="7.08984375" style="150" customWidth="1"/>
    <col min="8482" max="8704" width="8.7265625" style="150"/>
    <col min="8705" max="8705" width="5.6328125" style="150" customWidth="1"/>
    <col min="8706" max="8706" width="3" style="150" customWidth="1"/>
    <col min="8707" max="8707" width="15.36328125" style="150" customWidth="1"/>
    <col min="8708" max="8715" width="8.6328125" style="150" customWidth="1"/>
    <col min="8716" max="8716" width="4.6328125" style="150" customWidth="1"/>
    <col min="8717" max="8717" width="8.6328125" style="150" customWidth="1"/>
    <col min="8718" max="8718" width="4.6328125" style="150" customWidth="1"/>
    <col min="8719" max="8719" width="8.6328125" style="150" customWidth="1"/>
    <col min="8720" max="8720" width="4.6328125" style="150" customWidth="1"/>
    <col min="8721" max="8721" width="8.6328125" style="150" customWidth="1"/>
    <col min="8722" max="8722" width="4.6328125" style="150" customWidth="1"/>
    <col min="8723" max="8723" width="8.6328125" style="150" customWidth="1"/>
    <col min="8724" max="8724" width="4.6328125" style="150" customWidth="1"/>
    <col min="8725" max="8725" width="8.6328125" style="150" customWidth="1"/>
    <col min="8726" max="8726" width="4.6328125" style="150" customWidth="1"/>
    <col min="8727" max="8727" width="8.6328125" style="150" customWidth="1"/>
    <col min="8728" max="8728" width="4.6328125" style="150" customWidth="1"/>
    <col min="8729" max="8729" width="8.6328125" style="150" customWidth="1"/>
    <col min="8730" max="8730" width="4.6328125" style="150" customWidth="1"/>
    <col min="8731" max="8731" width="8.6328125" style="150" customWidth="1"/>
    <col min="8732" max="8732" width="4.6328125" style="150" customWidth="1"/>
    <col min="8733" max="8733" width="8.6328125" style="150" customWidth="1"/>
    <col min="8734" max="8734" width="4.6328125" style="150" customWidth="1"/>
    <col min="8735" max="8735" width="9.26953125" style="150" bestFit="1" customWidth="1"/>
    <col min="8736" max="8736" width="8.7265625" style="150"/>
    <col min="8737" max="8737" width="7.08984375" style="150" customWidth="1"/>
    <col min="8738" max="8960" width="8.7265625" style="150"/>
    <col min="8961" max="8961" width="5.6328125" style="150" customWidth="1"/>
    <col min="8962" max="8962" width="3" style="150" customWidth="1"/>
    <col min="8963" max="8963" width="15.36328125" style="150" customWidth="1"/>
    <col min="8964" max="8971" width="8.6328125" style="150" customWidth="1"/>
    <col min="8972" max="8972" width="4.6328125" style="150" customWidth="1"/>
    <col min="8973" max="8973" width="8.6328125" style="150" customWidth="1"/>
    <col min="8974" max="8974" width="4.6328125" style="150" customWidth="1"/>
    <col min="8975" max="8975" width="8.6328125" style="150" customWidth="1"/>
    <col min="8976" max="8976" width="4.6328125" style="150" customWidth="1"/>
    <col min="8977" max="8977" width="8.6328125" style="150" customWidth="1"/>
    <col min="8978" max="8978" width="4.6328125" style="150" customWidth="1"/>
    <col min="8979" max="8979" width="8.6328125" style="150" customWidth="1"/>
    <col min="8980" max="8980" width="4.6328125" style="150" customWidth="1"/>
    <col min="8981" max="8981" width="8.6328125" style="150" customWidth="1"/>
    <col min="8982" max="8982" width="4.6328125" style="150" customWidth="1"/>
    <col min="8983" max="8983" width="8.6328125" style="150" customWidth="1"/>
    <col min="8984" max="8984" width="4.6328125" style="150" customWidth="1"/>
    <col min="8985" max="8985" width="8.6328125" style="150" customWidth="1"/>
    <col min="8986" max="8986" width="4.6328125" style="150" customWidth="1"/>
    <col min="8987" max="8987" width="8.6328125" style="150" customWidth="1"/>
    <col min="8988" max="8988" width="4.6328125" style="150" customWidth="1"/>
    <col min="8989" max="8989" width="8.6328125" style="150" customWidth="1"/>
    <col min="8990" max="8990" width="4.6328125" style="150" customWidth="1"/>
    <col min="8991" max="8991" width="9.26953125" style="150" bestFit="1" customWidth="1"/>
    <col min="8992" max="8992" width="8.7265625" style="150"/>
    <col min="8993" max="8993" width="7.08984375" style="150" customWidth="1"/>
    <col min="8994" max="9216" width="8.7265625" style="150"/>
    <col min="9217" max="9217" width="5.6328125" style="150" customWidth="1"/>
    <col min="9218" max="9218" width="3" style="150" customWidth="1"/>
    <col min="9219" max="9219" width="15.36328125" style="150" customWidth="1"/>
    <col min="9220" max="9227" width="8.6328125" style="150" customWidth="1"/>
    <col min="9228" max="9228" width="4.6328125" style="150" customWidth="1"/>
    <col min="9229" max="9229" width="8.6328125" style="150" customWidth="1"/>
    <col min="9230" max="9230" width="4.6328125" style="150" customWidth="1"/>
    <col min="9231" max="9231" width="8.6328125" style="150" customWidth="1"/>
    <col min="9232" max="9232" width="4.6328125" style="150" customWidth="1"/>
    <col min="9233" max="9233" width="8.6328125" style="150" customWidth="1"/>
    <col min="9234" max="9234" width="4.6328125" style="150" customWidth="1"/>
    <col min="9235" max="9235" width="8.6328125" style="150" customWidth="1"/>
    <col min="9236" max="9236" width="4.6328125" style="150" customWidth="1"/>
    <col min="9237" max="9237" width="8.6328125" style="150" customWidth="1"/>
    <col min="9238" max="9238" width="4.6328125" style="150" customWidth="1"/>
    <col min="9239" max="9239" width="8.6328125" style="150" customWidth="1"/>
    <col min="9240" max="9240" width="4.6328125" style="150" customWidth="1"/>
    <col min="9241" max="9241" width="8.6328125" style="150" customWidth="1"/>
    <col min="9242" max="9242" width="4.6328125" style="150" customWidth="1"/>
    <col min="9243" max="9243" width="8.6328125" style="150" customWidth="1"/>
    <col min="9244" max="9244" width="4.6328125" style="150" customWidth="1"/>
    <col min="9245" max="9245" width="8.6328125" style="150" customWidth="1"/>
    <col min="9246" max="9246" width="4.6328125" style="150" customWidth="1"/>
    <col min="9247" max="9247" width="9.26953125" style="150" bestFit="1" customWidth="1"/>
    <col min="9248" max="9248" width="8.7265625" style="150"/>
    <col min="9249" max="9249" width="7.08984375" style="150" customWidth="1"/>
    <col min="9250" max="9472" width="8.7265625" style="150"/>
    <col min="9473" max="9473" width="5.6328125" style="150" customWidth="1"/>
    <col min="9474" max="9474" width="3" style="150" customWidth="1"/>
    <col min="9475" max="9475" width="15.36328125" style="150" customWidth="1"/>
    <col min="9476" max="9483" width="8.6328125" style="150" customWidth="1"/>
    <col min="9484" max="9484" width="4.6328125" style="150" customWidth="1"/>
    <col min="9485" max="9485" width="8.6328125" style="150" customWidth="1"/>
    <col min="9486" max="9486" width="4.6328125" style="150" customWidth="1"/>
    <col min="9487" max="9487" width="8.6328125" style="150" customWidth="1"/>
    <col min="9488" max="9488" width="4.6328125" style="150" customWidth="1"/>
    <col min="9489" max="9489" width="8.6328125" style="150" customWidth="1"/>
    <col min="9490" max="9490" width="4.6328125" style="150" customWidth="1"/>
    <col min="9491" max="9491" width="8.6328125" style="150" customWidth="1"/>
    <col min="9492" max="9492" width="4.6328125" style="150" customWidth="1"/>
    <col min="9493" max="9493" width="8.6328125" style="150" customWidth="1"/>
    <col min="9494" max="9494" width="4.6328125" style="150" customWidth="1"/>
    <col min="9495" max="9495" width="8.6328125" style="150" customWidth="1"/>
    <col min="9496" max="9496" width="4.6328125" style="150" customWidth="1"/>
    <col min="9497" max="9497" width="8.6328125" style="150" customWidth="1"/>
    <col min="9498" max="9498" width="4.6328125" style="150" customWidth="1"/>
    <col min="9499" max="9499" width="8.6328125" style="150" customWidth="1"/>
    <col min="9500" max="9500" width="4.6328125" style="150" customWidth="1"/>
    <col min="9501" max="9501" width="8.6328125" style="150" customWidth="1"/>
    <col min="9502" max="9502" width="4.6328125" style="150" customWidth="1"/>
    <col min="9503" max="9503" width="9.26953125" style="150" bestFit="1" customWidth="1"/>
    <col min="9504" max="9504" width="8.7265625" style="150"/>
    <col min="9505" max="9505" width="7.08984375" style="150" customWidth="1"/>
    <col min="9506" max="9728" width="8.7265625" style="150"/>
    <col min="9729" max="9729" width="5.6328125" style="150" customWidth="1"/>
    <col min="9730" max="9730" width="3" style="150" customWidth="1"/>
    <col min="9731" max="9731" width="15.36328125" style="150" customWidth="1"/>
    <col min="9732" max="9739" width="8.6328125" style="150" customWidth="1"/>
    <col min="9740" max="9740" width="4.6328125" style="150" customWidth="1"/>
    <col min="9741" max="9741" width="8.6328125" style="150" customWidth="1"/>
    <col min="9742" max="9742" width="4.6328125" style="150" customWidth="1"/>
    <col min="9743" max="9743" width="8.6328125" style="150" customWidth="1"/>
    <col min="9744" max="9744" width="4.6328125" style="150" customWidth="1"/>
    <col min="9745" max="9745" width="8.6328125" style="150" customWidth="1"/>
    <col min="9746" max="9746" width="4.6328125" style="150" customWidth="1"/>
    <col min="9747" max="9747" width="8.6328125" style="150" customWidth="1"/>
    <col min="9748" max="9748" width="4.6328125" style="150" customWidth="1"/>
    <col min="9749" max="9749" width="8.6328125" style="150" customWidth="1"/>
    <col min="9750" max="9750" width="4.6328125" style="150" customWidth="1"/>
    <col min="9751" max="9751" width="8.6328125" style="150" customWidth="1"/>
    <col min="9752" max="9752" width="4.6328125" style="150" customWidth="1"/>
    <col min="9753" max="9753" width="8.6328125" style="150" customWidth="1"/>
    <col min="9754" max="9754" width="4.6328125" style="150" customWidth="1"/>
    <col min="9755" max="9755" width="8.6328125" style="150" customWidth="1"/>
    <col min="9756" max="9756" width="4.6328125" style="150" customWidth="1"/>
    <col min="9757" max="9757" width="8.6328125" style="150" customWidth="1"/>
    <col min="9758" max="9758" width="4.6328125" style="150" customWidth="1"/>
    <col min="9759" max="9759" width="9.26953125" style="150" bestFit="1" customWidth="1"/>
    <col min="9760" max="9760" width="8.7265625" style="150"/>
    <col min="9761" max="9761" width="7.08984375" style="150" customWidth="1"/>
    <col min="9762" max="9984" width="8.7265625" style="150"/>
    <col min="9985" max="9985" width="5.6328125" style="150" customWidth="1"/>
    <col min="9986" max="9986" width="3" style="150" customWidth="1"/>
    <col min="9987" max="9987" width="15.36328125" style="150" customWidth="1"/>
    <col min="9988" max="9995" width="8.6328125" style="150" customWidth="1"/>
    <col min="9996" max="9996" width="4.6328125" style="150" customWidth="1"/>
    <col min="9997" max="9997" width="8.6328125" style="150" customWidth="1"/>
    <col min="9998" max="9998" width="4.6328125" style="150" customWidth="1"/>
    <col min="9999" max="9999" width="8.6328125" style="150" customWidth="1"/>
    <col min="10000" max="10000" width="4.6328125" style="150" customWidth="1"/>
    <col min="10001" max="10001" width="8.6328125" style="150" customWidth="1"/>
    <col min="10002" max="10002" width="4.6328125" style="150" customWidth="1"/>
    <col min="10003" max="10003" width="8.6328125" style="150" customWidth="1"/>
    <col min="10004" max="10004" width="4.6328125" style="150" customWidth="1"/>
    <col min="10005" max="10005" width="8.6328125" style="150" customWidth="1"/>
    <col min="10006" max="10006" width="4.6328125" style="150" customWidth="1"/>
    <col min="10007" max="10007" width="8.6328125" style="150" customWidth="1"/>
    <col min="10008" max="10008" width="4.6328125" style="150" customWidth="1"/>
    <col min="10009" max="10009" width="8.6328125" style="150" customWidth="1"/>
    <col min="10010" max="10010" width="4.6328125" style="150" customWidth="1"/>
    <col min="10011" max="10011" width="8.6328125" style="150" customWidth="1"/>
    <col min="10012" max="10012" width="4.6328125" style="150" customWidth="1"/>
    <col min="10013" max="10013" width="8.6328125" style="150" customWidth="1"/>
    <col min="10014" max="10014" width="4.6328125" style="150" customWidth="1"/>
    <col min="10015" max="10015" width="9.26953125" style="150" bestFit="1" customWidth="1"/>
    <col min="10016" max="10016" width="8.7265625" style="150"/>
    <col min="10017" max="10017" width="7.08984375" style="150" customWidth="1"/>
    <col min="10018" max="10240" width="8.7265625" style="150"/>
    <col min="10241" max="10241" width="5.6328125" style="150" customWidth="1"/>
    <col min="10242" max="10242" width="3" style="150" customWidth="1"/>
    <col min="10243" max="10243" width="15.36328125" style="150" customWidth="1"/>
    <col min="10244" max="10251" width="8.6328125" style="150" customWidth="1"/>
    <col min="10252" max="10252" width="4.6328125" style="150" customWidth="1"/>
    <col min="10253" max="10253" width="8.6328125" style="150" customWidth="1"/>
    <col min="10254" max="10254" width="4.6328125" style="150" customWidth="1"/>
    <col min="10255" max="10255" width="8.6328125" style="150" customWidth="1"/>
    <col min="10256" max="10256" width="4.6328125" style="150" customWidth="1"/>
    <col min="10257" max="10257" width="8.6328125" style="150" customWidth="1"/>
    <col min="10258" max="10258" width="4.6328125" style="150" customWidth="1"/>
    <col min="10259" max="10259" width="8.6328125" style="150" customWidth="1"/>
    <col min="10260" max="10260" width="4.6328125" style="150" customWidth="1"/>
    <col min="10261" max="10261" width="8.6328125" style="150" customWidth="1"/>
    <col min="10262" max="10262" width="4.6328125" style="150" customWidth="1"/>
    <col min="10263" max="10263" width="8.6328125" style="150" customWidth="1"/>
    <col min="10264" max="10264" width="4.6328125" style="150" customWidth="1"/>
    <col min="10265" max="10265" width="8.6328125" style="150" customWidth="1"/>
    <col min="10266" max="10266" width="4.6328125" style="150" customWidth="1"/>
    <col min="10267" max="10267" width="8.6328125" style="150" customWidth="1"/>
    <col min="10268" max="10268" width="4.6328125" style="150" customWidth="1"/>
    <col min="10269" max="10269" width="8.6328125" style="150" customWidth="1"/>
    <col min="10270" max="10270" width="4.6328125" style="150" customWidth="1"/>
    <col min="10271" max="10271" width="9.26953125" style="150" bestFit="1" customWidth="1"/>
    <col min="10272" max="10272" width="8.7265625" style="150"/>
    <col min="10273" max="10273" width="7.08984375" style="150" customWidth="1"/>
    <col min="10274" max="10496" width="8.7265625" style="150"/>
    <col min="10497" max="10497" width="5.6328125" style="150" customWidth="1"/>
    <col min="10498" max="10498" width="3" style="150" customWidth="1"/>
    <col min="10499" max="10499" width="15.36328125" style="150" customWidth="1"/>
    <col min="10500" max="10507" width="8.6328125" style="150" customWidth="1"/>
    <col min="10508" max="10508" width="4.6328125" style="150" customWidth="1"/>
    <col min="10509" max="10509" width="8.6328125" style="150" customWidth="1"/>
    <col min="10510" max="10510" width="4.6328125" style="150" customWidth="1"/>
    <col min="10511" max="10511" width="8.6328125" style="150" customWidth="1"/>
    <col min="10512" max="10512" width="4.6328125" style="150" customWidth="1"/>
    <col min="10513" max="10513" width="8.6328125" style="150" customWidth="1"/>
    <col min="10514" max="10514" width="4.6328125" style="150" customWidth="1"/>
    <col min="10515" max="10515" width="8.6328125" style="150" customWidth="1"/>
    <col min="10516" max="10516" width="4.6328125" style="150" customWidth="1"/>
    <col min="10517" max="10517" width="8.6328125" style="150" customWidth="1"/>
    <col min="10518" max="10518" width="4.6328125" style="150" customWidth="1"/>
    <col min="10519" max="10519" width="8.6328125" style="150" customWidth="1"/>
    <col min="10520" max="10520" width="4.6328125" style="150" customWidth="1"/>
    <col min="10521" max="10521" width="8.6328125" style="150" customWidth="1"/>
    <col min="10522" max="10522" width="4.6328125" style="150" customWidth="1"/>
    <col min="10523" max="10523" width="8.6328125" style="150" customWidth="1"/>
    <col min="10524" max="10524" width="4.6328125" style="150" customWidth="1"/>
    <col min="10525" max="10525" width="8.6328125" style="150" customWidth="1"/>
    <col min="10526" max="10526" width="4.6328125" style="150" customWidth="1"/>
    <col min="10527" max="10527" width="9.26953125" style="150" bestFit="1" customWidth="1"/>
    <col min="10528" max="10528" width="8.7265625" style="150"/>
    <col min="10529" max="10529" width="7.08984375" style="150" customWidth="1"/>
    <col min="10530" max="10752" width="8.7265625" style="150"/>
    <col min="10753" max="10753" width="5.6328125" style="150" customWidth="1"/>
    <col min="10754" max="10754" width="3" style="150" customWidth="1"/>
    <col min="10755" max="10755" width="15.36328125" style="150" customWidth="1"/>
    <col min="10756" max="10763" width="8.6328125" style="150" customWidth="1"/>
    <col min="10764" max="10764" width="4.6328125" style="150" customWidth="1"/>
    <col min="10765" max="10765" width="8.6328125" style="150" customWidth="1"/>
    <col min="10766" max="10766" width="4.6328125" style="150" customWidth="1"/>
    <col min="10767" max="10767" width="8.6328125" style="150" customWidth="1"/>
    <col min="10768" max="10768" width="4.6328125" style="150" customWidth="1"/>
    <col min="10769" max="10769" width="8.6328125" style="150" customWidth="1"/>
    <col min="10770" max="10770" width="4.6328125" style="150" customWidth="1"/>
    <col min="10771" max="10771" width="8.6328125" style="150" customWidth="1"/>
    <col min="10772" max="10772" width="4.6328125" style="150" customWidth="1"/>
    <col min="10773" max="10773" width="8.6328125" style="150" customWidth="1"/>
    <col min="10774" max="10774" width="4.6328125" style="150" customWidth="1"/>
    <col min="10775" max="10775" width="8.6328125" style="150" customWidth="1"/>
    <col min="10776" max="10776" width="4.6328125" style="150" customWidth="1"/>
    <col min="10777" max="10777" width="8.6328125" style="150" customWidth="1"/>
    <col min="10778" max="10778" width="4.6328125" style="150" customWidth="1"/>
    <col min="10779" max="10779" width="8.6328125" style="150" customWidth="1"/>
    <col min="10780" max="10780" width="4.6328125" style="150" customWidth="1"/>
    <col min="10781" max="10781" width="8.6328125" style="150" customWidth="1"/>
    <col min="10782" max="10782" width="4.6328125" style="150" customWidth="1"/>
    <col min="10783" max="10783" width="9.26953125" style="150" bestFit="1" customWidth="1"/>
    <col min="10784" max="10784" width="8.7265625" style="150"/>
    <col min="10785" max="10785" width="7.08984375" style="150" customWidth="1"/>
    <col min="10786" max="11008" width="8.7265625" style="150"/>
    <col min="11009" max="11009" width="5.6328125" style="150" customWidth="1"/>
    <col min="11010" max="11010" width="3" style="150" customWidth="1"/>
    <col min="11011" max="11011" width="15.36328125" style="150" customWidth="1"/>
    <col min="11012" max="11019" width="8.6328125" style="150" customWidth="1"/>
    <col min="11020" max="11020" width="4.6328125" style="150" customWidth="1"/>
    <col min="11021" max="11021" width="8.6328125" style="150" customWidth="1"/>
    <col min="11022" max="11022" width="4.6328125" style="150" customWidth="1"/>
    <col min="11023" max="11023" width="8.6328125" style="150" customWidth="1"/>
    <col min="11024" max="11024" width="4.6328125" style="150" customWidth="1"/>
    <col min="11025" max="11025" width="8.6328125" style="150" customWidth="1"/>
    <col min="11026" max="11026" width="4.6328125" style="150" customWidth="1"/>
    <col min="11027" max="11027" width="8.6328125" style="150" customWidth="1"/>
    <col min="11028" max="11028" width="4.6328125" style="150" customWidth="1"/>
    <col min="11029" max="11029" width="8.6328125" style="150" customWidth="1"/>
    <col min="11030" max="11030" width="4.6328125" style="150" customWidth="1"/>
    <col min="11031" max="11031" width="8.6328125" style="150" customWidth="1"/>
    <col min="11032" max="11032" width="4.6328125" style="150" customWidth="1"/>
    <col min="11033" max="11033" width="8.6328125" style="150" customWidth="1"/>
    <col min="11034" max="11034" width="4.6328125" style="150" customWidth="1"/>
    <col min="11035" max="11035" width="8.6328125" style="150" customWidth="1"/>
    <col min="11036" max="11036" width="4.6328125" style="150" customWidth="1"/>
    <col min="11037" max="11037" width="8.6328125" style="150" customWidth="1"/>
    <col min="11038" max="11038" width="4.6328125" style="150" customWidth="1"/>
    <col min="11039" max="11039" width="9.26953125" style="150" bestFit="1" customWidth="1"/>
    <col min="11040" max="11040" width="8.7265625" style="150"/>
    <col min="11041" max="11041" width="7.08984375" style="150" customWidth="1"/>
    <col min="11042" max="11264" width="8.7265625" style="150"/>
    <col min="11265" max="11265" width="5.6328125" style="150" customWidth="1"/>
    <col min="11266" max="11266" width="3" style="150" customWidth="1"/>
    <col min="11267" max="11267" width="15.36328125" style="150" customWidth="1"/>
    <col min="11268" max="11275" width="8.6328125" style="150" customWidth="1"/>
    <col min="11276" max="11276" width="4.6328125" style="150" customWidth="1"/>
    <col min="11277" max="11277" width="8.6328125" style="150" customWidth="1"/>
    <col min="11278" max="11278" width="4.6328125" style="150" customWidth="1"/>
    <col min="11279" max="11279" width="8.6328125" style="150" customWidth="1"/>
    <col min="11280" max="11280" width="4.6328125" style="150" customWidth="1"/>
    <col min="11281" max="11281" width="8.6328125" style="150" customWidth="1"/>
    <col min="11282" max="11282" width="4.6328125" style="150" customWidth="1"/>
    <col min="11283" max="11283" width="8.6328125" style="150" customWidth="1"/>
    <col min="11284" max="11284" width="4.6328125" style="150" customWidth="1"/>
    <col min="11285" max="11285" width="8.6328125" style="150" customWidth="1"/>
    <col min="11286" max="11286" width="4.6328125" style="150" customWidth="1"/>
    <col min="11287" max="11287" width="8.6328125" style="150" customWidth="1"/>
    <col min="11288" max="11288" width="4.6328125" style="150" customWidth="1"/>
    <col min="11289" max="11289" width="8.6328125" style="150" customWidth="1"/>
    <col min="11290" max="11290" width="4.6328125" style="150" customWidth="1"/>
    <col min="11291" max="11291" width="8.6328125" style="150" customWidth="1"/>
    <col min="11292" max="11292" width="4.6328125" style="150" customWidth="1"/>
    <col min="11293" max="11293" width="8.6328125" style="150" customWidth="1"/>
    <col min="11294" max="11294" width="4.6328125" style="150" customWidth="1"/>
    <col min="11295" max="11295" width="9.26953125" style="150" bestFit="1" customWidth="1"/>
    <col min="11296" max="11296" width="8.7265625" style="150"/>
    <col min="11297" max="11297" width="7.08984375" style="150" customWidth="1"/>
    <col min="11298" max="11520" width="8.7265625" style="150"/>
    <col min="11521" max="11521" width="5.6328125" style="150" customWidth="1"/>
    <col min="11522" max="11522" width="3" style="150" customWidth="1"/>
    <col min="11523" max="11523" width="15.36328125" style="150" customWidth="1"/>
    <col min="11524" max="11531" width="8.6328125" style="150" customWidth="1"/>
    <col min="11532" max="11532" width="4.6328125" style="150" customWidth="1"/>
    <col min="11533" max="11533" width="8.6328125" style="150" customWidth="1"/>
    <col min="11534" max="11534" width="4.6328125" style="150" customWidth="1"/>
    <col min="11535" max="11535" width="8.6328125" style="150" customWidth="1"/>
    <col min="11536" max="11536" width="4.6328125" style="150" customWidth="1"/>
    <col min="11537" max="11537" width="8.6328125" style="150" customWidth="1"/>
    <col min="11538" max="11538" width="4.6328125" style="150" customWidth="1"/>
    <col min="11539" max="11539" width="8.6328125" style="150" customWidth="1"/>
    <col min="11540" max="11540" width="4.6328125" style="150" customWidth="1"/>
    <col min="11541" max="11541" width="8.6328125" style="150" customWidth="1"/>
    <col min="11542" max="11542" width="4.6328125" style="150" customWidth="1"/>
    <col min="11543" max="11543" width="8.6328125" style="150" customWidth="1"/>
    <col min="11544" max="11544" width="4.6328125" style="150" customWidth="1"/>
    <col min="11545" max="11545" width="8.6328125" style="150" customWidth="1"/>
    <col min="11546" max="11546" width="4.6328125" style="150" customWidth="1"/>
    <col min="11547" max="11547" width="8.6328125" style="150" customWidth="1"/>
    <col min="11548" max="11548" width="4.6328125" style="150" customWidth="1"/>
    <col min="11549" max="11549" width="8.6328125" style="150" customWidth="1"/>
    <col min="11550" max="11550" width="4.6328125" style="150" customWidth="1"/>
    <col min="11551" max="11551" width="9.26953125" style="150" bestFit="1" customWidth="1"/>
    <col min="11552" max="11552" width="8.7265625" style="150"/>
    <col min="11553" max="11553" width="7.08984375" style="150" customWidth="1"/>
    <col min="11554" max="11776" width="8.7265625" style="150"/>
    <col min="11777" max="11777" width="5.6328125" style="150" customWidth="1"/>
    <col min="11778" max="11778" width="3" style="150" customWidth="1"/>
    <col min="11779" max="11779" width="15.36328125" style="150" customWidth="1"/>
    <col min="11780" max="11787" width="8.6328125" style="150" customWidth="1"/>
    <col min="11788" max="11788" width="4.6328125" style="150" customWidth="1"/>
    <col min="11789" max="11789" width="8.6328125" style="150" customWidth="1"/>
    <col min="11790" max="11790" width="4.6328125" style="150" customWidth="1"/>
    <col min="11791" max="11791" width="8.6328125" style="150" customWidth="1"/>
    <col min="11792" max="11792" width="4.6328125" style="150" customWidth="1"/>
    <col min="11793" max="11793" width="8.6328125" style="150" customWidth="1"/>
    <col min="11794" max="11794" width="4.6328125" style="150" customWidth="1"/>
    <col min="11795" max="11795" width="8.6328125" style="150" customWidth="1"/>
    <col min="11796" max="11796" width="4.6328125" style="150" customWidth="1"/>
    <col min="11797" max="11797" width="8.6328125" style="150" customWidth="1"/>
    <col min="11798" max="11798" width="4.6328125" style="150" customWidth="1"/>
    <col min="11799" max="11799" width="8.6328125" style="150" customWidth="1"/>
    <col min="11800" max="11800" width="4.6328125" style="150" customWidth="1"/>
    <col min="11801" max="11801" width="8.6328125" style="150" customWidth="1"/>
    <col min="11802" max="11802" width="4.6328125" style="150" customWidth="1"/>
    <col min="11803" max="11803" width="8.6328125" style="150" customWidth="1"/>
    <col min="11804" max="11804" width="4.6328125" style="150" customWidth="1"/>
    <col min="11805" max="11805" width="8.6328125" style="150" customWidth="1"/>
    <col min="11806" max="11806" width="4.6328125" style="150" customWidth="1"/>
    <col min="11807" max="11807" width="9.26953125" style="150" bestFit="1" customWidth="1"/>
    <col min="11808" max="11808" width="8.7265625" style="150"/>
    <col min="11809" max="11809" width="7.08984375" style="150" customWidth="1"/>
    <col min="11810" max="12032" width="8.7265625" style="150"/>
    <col min="12033" max="12033" width="5.6328125" style="150" customWidth="1"/>
    <col min="12034" max="12034" width="3" style="150" customWidth="1"/>
    <col min="12035" max="12035" width="15.36328125" style="150" customWidth="1"/>
    <col min="12036" max="12043" width="8.6328125" style="150" customWidth="1"/>
    <col min="12044" max="12044" width="4.6328125" style="150" customWidth="1"/>
    <col min="12045" max="12045" width="8.6328125" style="150" customWidth="1"/>
    <col min="12046" max="12046" width="4.6328125" style="150" customWidth="1"/>
    <col min="12047" max="12047" width="8.6328125" style="150" customWidth="1"/>
    <col min="12048" max="12048" width="4.6328125" style="150" customWidth="1"/>
    <col min="12049" max="12049" width="8.6328125" style="150" customWidth="1"/>
    <col min="12050" max="12050" width="4.6328125" style="150" customWidth="1"/>
    <col min="12051" max="12051" width="8.6328125" style="150" customWidth="1"/>
    <col min="12052" max="12052" width="4.6328125" style="150" customWidth="1"/>
    <col min="12053" max="12053" width="8.6328125" style="150" customWidth="1"/>
    <col min="12054" max="12054" width="4.6328125" style="150" customWidth="1"/>
    <col min="12055" max="12055" width="8.6328125" style="150" customWidth="1"/>
    <col min="12056" max="12056" width="4.6328125" style="150" customWidth="1"/>
    <col min="12057" max="12057" width="8.6328125" style="150" customWidth="1"/>
    <col min="12058" max="12058" width="4.6328125" style="150" customWidth="1"/>
    <col min="12059" max="12059" width="8.6328125" style="150" customWidth="1"/>
    <col min="12060" max="12060" width="4.6328125" style="150" customWidth="1"/>
    <col min="12061" max="12061" width="8.6328125" style="150" customWidth="1"/>
    <col min="12062" max="12062" width="4.6328125" style="150" customWidth="1"/>
    <col min="12063" max="12063" width="9.26953125" style="150" bestFit="1" customWidth="1"/>
    <col min="12064" max="12064" width="8.7265625" style="150"/>
    <col min="12065" max="12065" width="7.08984375" style="150" customWidth="1"/>
    <col min="12066" max="12288" width="8.7265625" style="150"/>
    <col min="12289" max="12289" width="5.6328125" style="150" customWidth="1"/>
    <col min="12290" max="12290" width="3" style="150" customWidth="1"/>
    <col min="12291" max="12291" width="15.36328125" style="150" customWidth="1"/>
    <col min="12292" max="12299" width="8.6328125" style="150" customWidth="1"/>
    <col min="12300" max="12300" width="4.6328125" style="150" customWidth="1"/>
    <col min="12301" max="12301" width="8.6328125" style="150" customWidth="1"/>
    <col min="12302" max="12302" width="4.6328125" style="150" customWidth="1"/>
    <col min="12303" max="12303" width="8.6328125" style="150" customWidth="1"/>
    <col min="12304" max="12304" width="4.6328125" style="150" customWidth="1"/>
    <col min="12305" max="12305" width="8.6328125" style="150" customWidth="1"/>
    <col min="12306" max="12306" width="4.6328125" style="150" customWidth="1"/>
    <col min="12307" max="12307" width="8.6328125" style="150" customWidth="1"/>
    <col min="12308" max="12308" width="4.6328125" style="150" customWidth="1"/>
    <col min="12309" max="12309" width="8.6328125" style="150" customWidth="1"/>
    <col min="12310" max="12310" width="4.6328125" style="150" customWidth="1"/>
    <col min="12311" max="12311" width="8.6328125" style="150" customWidth="1"/>
    <col min="12312" max="12312" width="4.6328125" style="150" customWidth="1"/>
    <col min="12313" max="12313" width="8.6328125" style="150" customWidth="1"/>
    <col min="12314" max="12314" width="4.6328125" style="150" customWidth="1"/>
    <col min="12315" max="12315" width="8.6328125" style="150" customWidth="1"/>
    <col min="12316" max="12316" width="4.6328125" style="150" customWidth="1"/>
    <col min="12317" max="12317" width="8.6328125" style="150" customWidth="1"/>
    <col min="12318" max="12318" width="4.6328125" style="150" customWidth="1"/>
    <col min="12319" max="12319" width="9.26953125" style="150" bestFit="1" customWidth="1"/>
    <col min="12320" max="12320" width="8.7265625" style="150"/>
    <col min="12321" max="12321" width="7.08984375" style="150" customWidth="1"/>
    <col min="12322" max="12544" width="8.7265625" style="150"/>
    <col min="12545" max="12545" width="5.6328125" style="150" customWidth="1"/>
    <col min="12546" max="12546" width="3" style="150" customWidth="1"/>
    <col min="12547" max="12547" width="15.36328125" style="150" customWidth="1"/>
    <col min="12548" max="12555" width="8.6328125" style="150" customWidth="1"/>
    <col min="12556" max="12556" width="4.6328125" style="150" customWidth="1"/>
    <col min="12557" max="12557" width="8.6328125" style="150" customWidth="1"/>
    <col min="12558" max="12558" width="4.6328125" style="150" customWidth="1"/>
    <col min="12559" max="12559" width="8.6328125" style="150" customWidth="1"/>
    <col min="12560" max="12560" width="4.6328125" style="150" customWidth="1"/>
    <col min="12561" max="12561" width="8.6328125" style="150" customWidth="1"/>
    <col min="12562" max="12562" width="4.6328125" style="150" customWidth="1"/>
    <col min="12563" max="12563" width="8.6328125" style="150" customWidth="1"/>
    <col min="12564" max="12564" width="4.6328125" style="150" customWidth="1"/>
    <col min="12565" max="12565" width="8.6328125" style="150" customWidth="1"/>
    <col min="12566" max="12566" width="4.6328125" style="150" customWidth="1"/>
    <col min="12567" max="12567" width="8.6328125" style="150" customWidth="1"/>
    <col min="12568" max="12568" width="4.6328125" style="150" customWidth="1"/>
    <col min="12569" max="12569" width="8.6328125" style="150" customWidth="1"/>
    <col min="12570" max="12570" width="4.6328125" style="150" customWidth="1"/>
    <col min="12571" max="12571" width="8.6328125" style="150" customWidth="1"/>
    <col min="12572" max="12572" width="4.6328125" style="150" customWidth="1"/>
    <col min="12573" max="12573" width="8.6328125" style="150" customWidth="1"/>
    <col min="12574" max="12574" width="4.6328125" style="150" customWidth="1"/>
    <col min="12575" max="12575" width="9.26953125" style="150" bestFit="1" customWidth="1"/>
    <col min="12576" max="12576" width="8.7265625" style="150"/>
    <col min="12577" max="12577" width="7.08984375" style="150" customWidth="1"/>
    <col min="12578" max="12800" width="8.7265625" style="150"/>
    <col min="12801" max="12801" width="5.6328125" style="150" customWidth="1"/>
    <col min="12802" max="12802" width="3" style="150" customWidth="1"/>
    <col min="12803" max="12803" width="15.36328125" style="150" customWidth="1"/>
    <col min="12804" max="12811" width="8.6328125" style="150" customWidth="1"/>
    <col min="12812" max="12812" width="4.6328125" style="150" customWidth="1"/>
    <col min="12813" max="12813" width="8.6328125" style="150" customWidth="1"/>
    <col min="12814" max="12814" width="4.6328125" style="150" customWidth="1"/>
    <col min="12815" max="12815" width="8.6328125" style="150" customWidth="1"/>
    <col min="12816" max="12816" width="4.6328125" style="150" customWidth="1"/>
    <col min="12817" max="12817" width="8.6328125" style="150" customWidth="1"/>
    <col min="12818" max="12818" width="4.6328125" style="150" customWidth="1"/>
    <col min="12819" max="12819" width="8.6328125" style="150" customWidth="1"/>
    <col min="12820" max="12820" width="4.6328125" style="150" customWidth="1"/>
    <col min="12821" max="12821" width="8.6328125" style="150" customWidth="1"/>
    <col min="12822" max="12822" width="4.6328125" style="150" customWidth="1"/>
    <col min="12823" max="12823" width="8.6328125" style="150" customWidth="1"/>
    <col min="12824" max="12824" width="4.6328125" style="150" customWidth="1"/>
    <col min="12825" max="12825" width="8.6328125" style="150" customWidth="1"/>
    <col min="12826" max="12826" width="4.6328125" style="150" customWidth="1"/>
    <col min="12827" max="12827" width="8.6328125" style="150" customWidth="1"/>
    <col min="12828" max="12828" width="4.6328125" style="150" customWidth="1"/>
    <col min="12829" max="12829" width="8.6328125" style="150" customWidth="1"/>
    <col min="12830" max="12830" width="4.6328125" style="150" customWidth="1"/>
    <col min="12831" max="12831" width="9.26953125" style="150" bestFit="1" customWidth="1"/>
    <col min="12832" max="12832" width="8.7265625" style="150"/>
    <col min="12833" max="12833" width="7.08984375" style="150" customWidth="1"/>
    <col min="12834" max="13056" width="8.7265625" style="150"/>
    <col min="13057" max="13057" width="5.6328125" style="150" customWidth="1"/>
    <col min="13058" max="13058" width="3" style="150" customWidth="1"/>
    <col min="13059" max="13059" width="15.36328125" style="150" customWidth="1"/>
    <col min="13060" max="13067" width="8.6328125" style="150" customWidth="1"/>
    <col min="13068" max="13068" width="4.6328125" style="150" customWidth="1"/>
    <col min="13069" max="13069" width="8.6328125" style="150" customWidth="1"/>
    <col min="13070" max="13070" width="4.6328125" style="150" customWidth="1"/>
    <col min="13071" max="13071" width="8.6328125" style="150" customWidth="1"/>
    <col min="13072" max="13072" width="4.6328125" style="150" customWidth="1"/>
    <col min="13073" max="13073" width="8.6328125" style="150" customWidth="1"/>
    <col min="13074" max="13074" width="4.6328125" style="150" customWidth="1"/>
    <col min="13075" max="13075" width="8.6328125" style="150" customWidth="1"/>
    <col min="13076" max="13076" width="4.6328125" style="150" customWidth="1"/>
    <col min="13077" max="13077" width="8.6328125" style="150" customWidth="1"/>
    <col min="13078" max="13078" width="4.6328125" style="150" customWidth="1"/>
    <col min="13079" max="13079" width="8.6328125" style="150" customWidth="1"/>
    <col min="13080" max="13080" width="4.6328125" style="150" customWidth="1"/>
    <col min="13081" max="13081" width="8.6328125" style="150" customWidth="1"/>
    <col min="13082" max="13082" width="4.6328125" style="150" customWidth="1"/>
    <col min="13083" max="13083" width="8.6328125" style="150" customWidth="1"/>
    <col min="13084" max="13084" width="4.6328125" style="150" customWidth="1"/>
    <col min="13085" max="13085" width="8.6328125" style="150" customWidth="1"/>
    <col min="13086" max="13086" width="4.6328125" style="150" customWidth="1"/>
    <col min="13087" max="13087" width="9.26953125" style="150" bestFit="1" customWidth="1"/>
    <col min="13088" max="13088" width="8.7265625" style="150"/>
    <col min="13089" max="13089" width="7.08984375" style="150" customWidth="1"/>
    <col min="13090" max="13312" width="8.7265625" style="150"/>
    <col min="13313" max="13313" width="5.6328125" style="150" customWidth="1"/>
    <col min="13314" max="13314" width="3" style="150" customWidth="1"/>
    <col min="13315" max="13315" width="15.36328125" style="150" customWidth="1"/>
    <col min="13316" max="13323" width="8.6328125" style="150" customWidth="1"/>
    <col min="13324" max="13324" width="4.6328125" style="150" customWidth="1"/>
    <col min="13325" max="13325" width="8.6328125" style="150" customWidth="1"/>
    <col min="13326" max="13326" width="4.6328125" style="150" customWidth="1"/>
    <col min="13327" max="13327" width="8.6328125" style="150" customWidth="1"/>
    <col min="13328" max="13328" width="4.6328125" style="150" customWidth="1"/>
    <col min="13329" max="13329" width="8.6328125" style="150" customWidth="1"/>
    <col min="13330" max="13330" width="4.6328125" style="150" customWidth="1"/>
    <col min="13331" max="13331" width="8.6328125" style="150" customWidth="1"/>
    <col min="13332" max="13332" width="4.6328125" style="150" customWidth="1"/>
    <col min="13333" max="13333" width="8.6328125" style="150" customWidth="1"/>
    <col min="13334" max="13334" width="4.6328125" style="150" customWidth="1"/>
    <col min="13335" max="13335" width="8.6328125" style="150" customWidth="1"/>
    <col min="13336" max="13336" width="4.6328125" style="150" customWidth="1"/>
    <col min="13337" max="13337" width="8.6328125" style="150" customWidth="1"/>
    <col min="13338" max="13338" width="4.6328125" style="150" customWidth="1"/>
    <col min="13339" max="13339" width="8.6328125" style="150" customWidth="1"/>
    <col min="13340" max="13340" width="4.6328125" style="150" customWidth="1"/>
    <col min="13341" max="13341" width="8.6328125" style="150" customWidth="1"/>
    <col min="13342" max="13342" width="4.6328125" style="150" customWidth="1"/>
    <col min="13343" max="13343" width="9.26953125" style="150" bestFit="1" customWidth="1"/>
    <col min="13344" max="13344" width="8.7265625" style="150"/>
    <col min="13345" max="13345" width="7.08984375" style="150" customWidth="1"/>
    <col min="13346" max="13568" width="8.7265625" style="150"/>
    <col min="13569" max="13569" width="5.6328125" style="150" customWidth="1"/>
    <col min="13570" max="13570" width="3" style="150" customWidth="1"/>
    <col min="13571" max="13571" width="15.36328125" style="150" customWidth="1"/>
    <col min="13572" max="13579" width="8.6328125" style="150" customWidth="1"/>
    <col min="13580" max="13580" width="4.6328125" style="150" customWidth="1"/>
    <col min="13581" max="13581" width="8.6328125" style="150" customWidth="1"/>
    <col min="13582" max="13582" width="4.6328125" style="150" customWidth="1"/>
    <col min="13583" max="13583" width="8.6328125" style="150" customWidth="1"/>
    <col min="13584" max="13584" width="4.6328125" style="150" customWidth="1"/>
    <col min="13585" max="13585" width="8.6328125" style="150" customWidth="1"/>
    <col min="13586" max="13586" width="4.6328125" style="150" customWidth="1"/>
    <col min="13587" max="13587" width="8.6328125" style="150" customWidth="1"/>
    <col min="13588" max="13588" width="4.6328125" style="150" customWidth="1"/>
    <col min="13589" max="13589" width="8.6328125" style="150" customWidth="1"/>
    <col min="13590" max="13590" width="4.6328125" style="150" customWidth="1"/>
    <col min="13591" max="13591" width="8.6328125" style="150" customWidth="1"/>
    <col min="13592" max="13592" width="4.6328125" style="150" customWidth="1"/>
    <col min="13593" max="13593" width="8.6328125" style="150" customWidth="1"/>
    <col min="13594" max="13594" width="4.6328125" style="150" customWidth="1"/>
    <col min="13595" max="13595" width="8.6328125" style="150" customWidth="1"/>
    <col min="13596" max="13596" width="4.6328125" style="150" customWidth="1"/>
    <col min="13597" max="13597" width="8.6328125" style="150" customWidth="1"/>
    <col min="13598" max="13598" width="4.6328125" style="150" customWidth="1"/>
    <col min="13599" max="13599" width="9.26953125" style="150" bestFit="1" customWidth="1"/>
    <col min="13600" max="13600" width="8.7265625" style="150"/>
    <col min="13601" max="13601" width="7.08984375" style="150" customWidth="1"/>
    <col min="13602" max="13824" width="8.7265625" style="150"/>
    <col min="13825" max="13825" width="5.6328125" style="150" customWidth="1"/>
    <col min="13826" max="13826" width="3" style="150" customWidth="1"/>
    <col min="13827" max="13827" width="15.36328125" style="150" customWidth="1"/>
    <col min="13828" max="13835" width="8.6328125" style="150" customWidth="1"/>
    <col min="13836" max="13836" width="4.6328125" style="150" customWidth="1"/>
    <col min="13837" max="13837" width="8.6328125" style="150" customWidth="1"/>
    <col min="13838" max="13838" width="4.6328125" style="150" customWidth="1"/>
    <col min="13839" max="13839" width="8.6328125" style="150" customWidth="1"/>
    <col min="13840" max="13840" width="4.6328125" style="150" customWidth="1"/>
    <col min="13841" max="13841" width="8.6328125" style="150" customWidth="1"/>
    <col min="13842" max="13842" width="4.6328125" style="150" customWidth="1"/>
    <col min="13843" max="13843" width="8.6328125" style="150" customWidth="1"/>
    <col min="13844" max="13844" width="4.6328125" style="150" customWidth="1"/>
    <col min="13845" max="13845" width="8.6328125" style="150" customWidth="1"/>
    <col min="13846" max="13846" width="4.6328125" style="150" customWidth="1"/>
    <col min="13847" max="13847" width="8.6328125" style="150" customWidth="1"/>
    <col min="13848" max="13848" width="4.6328125" style="150" customWidth="1"/>
    <col min="13849" max="13849" width="8.6328125" style="150" customWidth="1"/>
    <col min="13850" max="13850" width="4.6328125" style="150" customWidth="1"/>
    <col min="13851" max="13851" width="8.6328125" style="150" customWidth="1"/>
    <col min="13852" max="13852" width="4.6328125" style="150" customWidth="1"/>
    <col min="13853" max="13853" width="8.6328125" style="150" customWidth="1"/>
    <col min="13854" max="13854" width="4.6328125" style="150" customWidth="1"/>
    <col min="13855" max="13855" width="9.26953125" style="150" bestFit="1" customWidth="1"/>
    <col min="13856" max="13856" width="8.7265625" style="150"/>
    <col min="13857" max="13857" width="7.08984375" style="150" customWidth="1"/>
    <col min="13858" max="14080" width="8.7265625" style="150"/>
    <col min="14081" max="14081" width="5.6328125" style="150" customWidth="1"/>
    <col min="14082" max="14082" width="3" style="150" customWidth="1"/>
    <col min="14083" max="14083" width="15.36328125" style="150" customWidth="1"/>
    <col min="14084" max="14091" width="8.6328125" style="150" customWidth="1"/>
    <col min="14092" max="14092" width="4.6328125" style="150" customWidth="1"/>
    <col min="14093" max="14093" width="8.6328125" style="150" customWidth="1"/>
    <col min="14094" max="14094" width="4.6328125" style="150" customWidth="1"/>
    <col min="14095" max="14095" width="8.6328125" style="150" customWidth="1"/>
    <col min="14096" max="14096" width="4.6328125" style="150" customWidth="1"/>
    <col min="14097" max="14097" width="8.6328125" style="150" customWidth="1"/>
    <col min="14098" max="14098" width="4.6328125" style="150" customWidth="1"/>
    <col min="14099" max="14099" width="8.6328125" style="150" customWidth="1"/>
    <col min="14100" max="14100" width="4.6328125" style="150" customWidth="1"/>
    <col min="14101" max="14101" width="8.6328125" style="150" customWidth="1"/>
    <col min="14102" max="14102" width="4.6328125" style="150" customWidth="1"/>
    <col min="14103" max="14103" width="8.6328125" style="150" customWidth="1"/>
    <col min="14104" max="14104" width="4.6328125" style="150" customWidth="1"/>
    <col min="14105" max="14105" width="8.6328125" style="150" customWidth="1"/>
    <col min="14106" max="14106" width="4.6328125" style="150" customWidth="1"/>
    <col min="14107" max="14107" width="8.6328125" style="150" customWidth="1"/>
    <col min="14108" max="14108" width="4.6328125" style="150" customWidth="1"/>
    <col min="14109" max="14109" width="8.6328125" style="150" customWidth="1"/>
    <col min="14110" max="14110" width="4.6328125" style="150" customWidth="1"/>
    <col min="14111" max="14111" width="9.26953125" style="150" bestFit="1" customWidth="1"/>
    <col min="14112" max="14112" width="8.7265625" style="150"/>
    <col min="14113" max="14113" width="7.08984375" style="150" customWidth="1"/>
    <col min="14114" max="14336" width="8.7265625" style="150"/>
    <col min="14337" max="14337" width="5.6328125" style="150" customWidth="1"/>
    <col min="14338" max="14338" width="3" style="150" customWidth="1"/>
    <col min="14339" max="14339" width="15.36328125" style="150" customWidth="1"/>
    <col min="14340" max="14347" width="8.6328125" style="150" customWidth="1"/>
    <col min="14348" max="14348" width="4.6328125" style="150" customWidth="1"/>
    <col min="14349" max="14349" width="8.6328125" style="150" customWidth="1"/>
    <col min="14350" max="14350" width="4.6328125" style="150" customWidth="1"/>
    <col min="14351" max="14351" width="8.6328125" style="150" customWidth="1"/>
    <col min="14352" max="14352" width="4.6328125" style="150" customWidth="1"/>
    <col min="14353" max="14353" width="8.6328125" style="150" customWidth="1"/>
    <col min="14354" max="14354" width="4.6328125" style="150" customWidth="1"/>
    <col min="14355" max="14355" width="8.6328125" style="150" customWidth="1"/>
    <col min="14356" max="14356" width="4.6328125" style="150" customWidth="1"/>
    <col min="14357" max="14357" width="8.6328125" style="150" customWidth="1"/>
    <col min="14358" max="14358" width="4.6328125" style="150" customWidth="1"/>
    <col min="14359" max="14359" width="8.6328125" style="150" customWidth="1"/>
    <col min="14360" max="14360" width="4.6328125" style="150" customWidth="1"/>
    <col min="14361" max="14361" width="8.6328125" style="150" customWidth="1"/>
    <col min="14362" max="14362" width="4.6328125" style="150" customWidth="1"/>
    <col min="14363" max="14363" width="8.6328125" style="150" customWidth="1"/>
    <col min="14364" max="14364" width="4.6328125" style="150" customWidth="1"/>
    <col min="14365" max="14365" width="8.6328125" style="150" customWidth="1"/>
    <col min="14366" max="14366" width="4.6328125" style="150" customWidth="1"/>
    <col min="14367" max="14367" width="9.26953125" style="150" bestFit="1" customWidth="1"/>
    <col min="14368" max="14368" width="8.7265625" style="150"/>
    <col min="14369" max="14369" width="7.08984375" style="150" customWidth="1"/>
    <col min="14370" max="14592" width="8.7265625" style="150"/>
    <col min="14593" max="14593" width="5.6328125" style="150" customWidth="1"/>
    <col min="14594" max="14594" width="3" style="150" customWidth="1"/>
    <col min="14595" max="14595" width="15.36328125" style="150" customWidth="1"/>
    <col min="14596" max="14603" width="8.6328125" style="150" customWidth="1"/>
    <col min="14604" max="14604" width="4.6328125" style="150" customWidth="1"/>
    <col min="14605" max="14605" width="8.6328125" style="150" customWidth="1"/>
    <col min="14606" max="14606" width="4.6328125" style="150" customWidth="1"/>
    <col min="14607" max="14607" width="8.6328125" style="150" customWidth="1"/>
    <col min="14608" max="14608" width="4.6328125" style="150" customWidth="1"/>
    <col min="14609" max="14609" width="8.6328125" style="150" customWidth="1"/>
    <col min="14610" max="14610" width="4.6328125" style="150" customWidth="1"/>
    <col min="14611" max="14611" width="8.6328125" style="150" customWidth="1"/>
    <col min="14612" max="14612" width="4.6328125" style="150" customWidth="1"/>
    <col min="14613" max="14613" width="8.6328125" style="150" customWidth="1"/>
    <col min="14614" max="14614" width="4.6328125" style="150" customWidth="1"/>
    <col min="14615" max="14615" width="8.6328125" style="150" customWidth="1"/>
    <col min="14616" max="14616" width="4.6328125" style="150" customWidth="1"/>
    <col min="14617" max="14617" width="8.6328125" style="150" customWidth="1"/>
    <col min="14618" max="14618" width="4.6328125" style="150" customWidth="1"/>
    <col min="14619" max="14619" width="8.6328125" style="150" customWidth="1"/>
    <col min="14620" max="14620" width="4.6328125" style="150" customWidth="1"/>
    <col min="14621" max="14621" width="8.6328125" style="150" customWidth="1"/>
    <col min="14622" max="14622" width="4.6328125" style="150" customWidth="1"/>
    <col min="14623" max="14623" width="9.26953125" style="150" bestFit="1" customWidth="1"/>
    <col min="14624" max="14624" width="8.7265625" style="150"/>
    <col min="14625" max="14625" width="7.08984375" style="150" customWidth="1"/>
    <col min="14626" max="14848" width="8.7265625" style="150"/>
    <col min="14849" max="14849" width="5.6328125" style="150" customWidth="1"/>
    <col min="14850" max="14850" width="3" style="150" customWidth="1"/>
    <col min="14851" max="14851" width="15.36328125" style="150" customWidth="1"/>
    <col min="14852" max="14859" width="8.6328125" style="150" customWidth="1"/>
    <col min="14860" max="14860" width="4.6328125" style="150" customWidth="1"/>
    <col min="14861" max="14861" width="8.6328125" style="150" customWidth="1"/>
    <col min="14862" max="14862" width="4.6328125" style="150" customWidth="1"/>
    <col min="14863" max="14863" width="8.6328125" style="150" customWidth="1"/>
    <col min="14864" max="14864" width="4.6328125" style="150" customWidth="1"/>
    <col min="14865" max="14865" width="8.6328125" style="150" customWidth="1"/>
    <col min="14866" max="14866" width="4.6328125" style="150" customWidth="1"/>
    <col min="14867" max="14867" width="8.6328125" style="150" customWidth="1"/>
    <col min="14868" max="14868" width="4.6328125" style="150" customWidth="1"/>
    <col min="14869" max="14869" width="8.6328125" style="150" customWidth="1"/>
    <col min="14870" max="14870" width="4.6328125" style="150" customWidth="1"/>
    <col min="14871" max="14871" width="8.6328125" style="150" customWidth="1"/>
    <col min="14872" max="14872" width="4.6328125" style="150" customWidth="1"/>
    <col min="14873" max="14873" width="8.6328125" style="150" customWidth="1"/>
    <col min="14874" max="14874" width="4.6328125" style="150" customWidth="1"/>
    <col min="14875" max="14875" width="8.6328125" style="150" customWidth="1"/>
    <col min="14876" max="14876" width="4.6328125" style="150" customWidth="1"/>
    <col min="14877" max="14877" width="8.6328125" style="150" customWidth="1"/>
    <col min="14878" max="14878" width="4.6328125" style="150" customWidth="1"/>
    <col min="14879" max="14879" width="9.26953125" style="150" bestFit="1" customWidth="1"/>
    <col min="14880" max="14880" width="8.7265625" style="150"/>
    <col min="14881" max="14881" width="7.08984375" style="150" customWidth="1"/>
    <col min="14882" max="15104" width="8.7265625" style="150"/>
    <col min="15105" max="15105" width="5.6328125" style="150" customWidth="1"/>
    <col min="15106" max="15106" width="3" style="150" customWidth="1"/>
    <col min="15107" max="15107" width="15.36328125" style="150" customWidth="1"/>
    <col min="15108" max="15115" width="8.6328125" style="150" customWidth="1"/>
    <col min="15116" max="15116" width="4.6328125" style="150" customWidth="1"/>
    <col min="15117" max="15117" width="8.6328125" style="150" customWidth="1"/>
    <col min="15118" max="15118" width="4.6328125" style="150" customWidth="1"/>
    <col min="15119" max="15119" width="8.6328125" style="150" customWidth="1"/>
    <col min="15120" max="15120" width="4.6328125" style="150" customWidth="1"/>
    <col min="15121" max="15121" width="8.6328125" style="150" customWidth="1"/>
    <col min="15122" max="15122" width="4.6328125" style="150" customWidth="1"/>
    <col min="15123" max="15123" width="8.6328125" style="150" customWidth="1"/>
    <col min="15124" max="15124" width="4.6328125" style="150" customWidth="1"/>
    <col min="15125" max="15125" width="8.6328125" style="150" customWidth="1"/>
    <col min="15126" max="15126" width="4.6328125" style="150" customWidth="1"/>
    <col min="15127" max="15127" width="8.6328125" style="150" customWidth="1"/>
    <col min="15128" max="15128" width="4.6328125" style="150" customWidth="1"/>
    <col min="15129" max="15129" width="8.6328125" style="150" customWidth="1"/>
    <col min="15130" max="15130" width="4.6328125" style="150" customWidth="1"/>
    <col min="15131" max="15131" width="8.6328125" style="150" customWidth="1"/>
    <col min="15132" max="15132" width="4.6328125" style="150" customWidth="1"/>
    <col min="15133" max="15133" width="8.6328125" style="150" customWidth="1"/>
    <col min="15134" max="15134" width="4.6328125" style="150" customWidth="1"/>
    <col min="15135" max="15135" width="9.26953125" style="150" bestFit="1" customWidth="1"/>
    <col min="15136" max="15136" width="8.7265625" style="150"/>
    <col min="15137" max="15137" width="7.08984375" style="150" customWidth="1"/>
    <col min="15138" max="15360" width="8.7265625" style="150"/>
    <col min="15361" max="15361" width="5.6328125" style="150" customWidth="1"/>
    <col min="15362" max="15362" width="3" style="150" customWidth="1"/>
    <col min="15363" max="15363" width="15.36328125" style="150" customWidth="1"/>
    <col min="15364" max="15371" width="8.6328125" style="150" customWidth="1"/>
    <col min="15372" max="15372" width="4.6328125" style="150" customWidth="1"/>
    <col min="15373" max="15373" width="8.6328125" style="150" customWidth="1"/>
    <col min="15374" max="15374" width="4.6328125" style="150" customWidth="1"/>
    <col min="15375" max="15375" width="8.6328125" style="150" customWidth="1"/>
    <col min="15376" max="15376" width="4.6328125" style="150" customWidth="1"/>
    <col min="15377" max="15377" width="8.6328125" style="150" customWidth="1"/>
    <col min="15378" max="15378" width="4.6328125" style="150" customWidth="1"/>
    <col min="15379" max="15379" width="8.6328125" style="150" customWidth="1"/>
    <col min="15380" max="15380" width="4.6328125" style="150" customWidth="1"/>
    <col min="15381" max="15381" width="8.6328125" style="150" customWidth="1"/>
    <col min="15382" max="15382" width="4.6328125" style="150" customWidth="1"/>
    <col min="15383" max="15383" width="8.6328125" style="150" customWidth="1"/>
    <col min="15384" max="15384" width="4.6328125" style="150" customWidth="1"/>
    <col min="15385" max="15385" width="8.6328125" style="150" customWidth="1"/>
    <col min="15386" max="15386" width="4.6328125" style="150" customWidth="1"/>
    <col min="15387" max="15387" width="8.6328125" style="150" customWidth="1"/>
    <col min="15388" max="15388" width="4.6328125" style="150" customWidth="1"/>
    <col min="15389" max="15389" width="8.6328125" style="150" customWidth="1"/>
    <col min="15390" max="15390" width="4.6328125" style="150" customWidth="1"/>
    <col min="15391" max="15391" width="9.26953125" style="150" bestFit="1" customWidth="1"/>
    <col min="15392" max="15392" width="8.7265625" style="150"/>
    <col min="15393" max="15393" width="7.08984375" style="150" customWidth="1"/>
    <col min="15394" max="15616" width="8.7265625" style="150"/>
    <col min="15617" max="15617" width="5.6328125" style="150" customWidth="1"/>
    <col min="15618" max="15618" width="3" style="150" customWidth="1"/>
    <col min="15619" max="15619" width="15.36328125" style="150" customWidth="1"/>
    <col min="15620" max="15627" width="8.6328125" style="150" customWidth="1"/>
    <col min="15628" max="15628" width="4.6328125" style="150" customWidth="1"/>
    <col min="15629" max="15629" width="8.6328125" style="150" customWidth="1"/>
    <col min="15630" max="15630" width="4.6328125" style="150" customWidth="1"/>
    <col min="15631" max="15631" width="8.6328125" style="150" customWidth="1"/>
    <col min="15632" max="15632" width="4.6328125" style="150" customWidth="1"/>
    <col min="15633" max="15633" width="8.6328125" style="150" customWidth="1"/>
    <col min="15634" max="15634" width="4.6328125" style="150" customWidth="1"/>
    <col min="15635" max="15635" width="8.6328125" style="150" customWidth="1"/>
    <col min="15636" max="15636" width="4.6328125" style="150" customWidth="1"/>
    <col min="15637" max="15637" width="8.6328125" style="150" customWidth="1"/>
    <col min="15638" max="15638" width="4.6328125" style="150" customWidth="1"/>
    <col min="15639" max="15639" width="8.6328125" style="150" customWidth="1"/>
    <col min="15640" max="15640" width="4.6328125" style="150" customWidth="1"/>
    <col min="15641" max="15641" width="8.6328125" style="150" customWidth="1"/>
    <col min="15642" max="15642" width="4.6328125" style="150" customWidth="1"/>
    <col min="15643" max="15643" width="8.6328125" style="150" customWidth="1"/>
    <col min="15644" max="15644" width="4.6328125" style="150" customWidth="1"/>
    <col min="15645" max="15645" width="8.6328125" style="150" customWidth="1"/>
    <col min="15646" max="15646" width="4.6328125" style="150" customWidth="1"/>
    <col min="15647" max="15647" width="9.26953125" style="150" bestFit="1" customWidth="1"/>
    <col min="15648" max="15648" width="8.7265625" style="150"/>
    <col min="15649" max="15649" width="7.08984375" style="150" customWidth="1"/>
    <col min="15650" max="15872" width="8.7265625" style="150"/>
    <col min="15873" max="15873" width="5.6328125" style="150" customWidth="1"/>
    <col min="15874" max="15874" width="3" style="150" customWidth="1"/>
    <col min="15875" max="15875" width="15.36328125" style="150" customWidth="1"/>
    <col min="15876" max="15883" width="8.6328125" style="150" customWidth="1"/>
    <col min="15884" max="15884" width="4.6328125" style="150" customWidth="1"/>
    <col min="15885" max="15885" width="8.6328125" style="150" customWidth="1"/>
    <col min="15886" max="15886" width="4.6328125" style="150" customWidth="1"/>
    <col min="15887" max="15887" width="8.6328125" style="150" customWidth="1"/>
    <col min="15888" max="15888" width="4.6328125" style="150" customWidth="1"/>
    <col min="15889" max="15889" width="8.6328125" style="150" customWidth="1"/>
    <col min="15890" max="15890" width="4.6328125" style="150" customWidth="1"/>
    <col min="15891" max="15891" width="8.6328125" style="150" customWidth="1"/>
    <col min="15892" max="15892" width="4.6328125" style="150" customWidth="1"/>
    <col min="15893" max="15893" width="8.6328125" style="150" customWidth="1"/>
    <col min="15894" max="15894" width="4.6328125" style="150" customWidth="1"/>
    <col min="15895" max="15895" width="8.6328125" style="150" customWidth="1"/>
    <col min="15896" max="15896" width="4.6328125" style="150" customWidth="1"/>
    <col min="15897" max="15897" width="8.6328125" style="150" customWidth="1"/>
    <col min="15898" max="15898" width="4.6328125" style="150" customWidth="1"/>
    <col min="15899" max="15899" width="8.6328125" style="150" customWidth="1"/>
    <col min="15900" max="15900" width="4.6328125" style="150" customWidth="1"/>
    <col min="15901" max="15901" width="8.6328125" style="150" customWidth="1"/>
    <col min="15902" max="15902" width="4.6328125" style="150" customWidth="1"/>
    <col min="15903" max="15903" width="9.26953125" style="150" bestFit="1" customWidth="1"/>
    <col min="15904" max="15904" width="8.7265625" style="150"/>
    <col min="15905" max="15905" width="7.08984375" style="150" customWidth="1"/>
    <col min="15906" max="16128" width="8.7265625" style="150"/>
    <col min="16129" max="16129" width="5.6328125" style="150" customWidth="1"/>
    <col min="16130" max="16130" width="3" style="150" customWidth="1"/>
    <col min="16131" max="16131" width="15.36328125" style="150" customWidth="1"/>
    <col min="16132" max="16139" width="8.6328125" style="150" customWidth="1"/>
    <col min="16140" max="16140" width="4.6328125" style="150" customWidth="1"/>
    <col min="16141" max="16141" width="8.6328125" style="150" customWidth="1"/>
    <col min="16142" max="16142" width="4.6328125" style="150" customWidth="1"/>
    <col min="16143" max="16143" width="8.6328125" style="150" customWidth="1"/>
    <col min="16144" max="16144" width="4.6328125" style="150" customWidth="1"/>
    <col min="16145" max="16145" width="8.6328125" style="150" customWidth="1"/>
    <col min="16146" max="16146" width="4.6328125" style="150" customWidth="1"/>
    <col min="16147" max="16147" width="8.6328125" style="150" customWidth="1"/>
    <col min="16148" max="16148" width="4.6328125" style="150" customWidth="1"/>
    <col min="16149" max="16149" width="8.6328125" style="150" customWidth="1"/>
    <col min="16150" max="16150" width="4.6328125" style="150" customWidth="1"/>
    <col min="16151" max="16151" width="8.6328125" style="150" customWidth="1"/>
    <col min="16152" max="16152" width="4.6328125" style="150" customWidth="1"/>
    <col min="16153" max="16153" width="8.6328125" style="150" customWidth="1"/>
    <col min="16154" max="16154" width="4.6328125" style="150" customWidth="1"/>
    <col min="16155" max="16155" width="8.6328125" style="150" customWidth="1"/>
    <col min="16156" max="16156" width="4.6328125" style="150" customWidth="1"/>
    <col min="16157" max="16157" width="8.6328125" style="150" customWidth="1"/>
    <col min="16158" max="16158" width="4.6328125" style="150" customWidth="1"/>
    <col min="16159" max="16159" width="9.26953125" style="150" bestFit="1" customWidth="1"/>
    <col min="16160" max="16160" width="8.7265625" style="150"/>
    <col min="16161" max="16161" width="7.08984375" style="150" customWidth="1"/>
    <col min="16162" max="16384" width="8.7265625" style="150"/>
  </cols>
  <sheetData>
    <row r="1" spans="1:32" ht="17.149999999999999" customHeight="1">
      <c r="A1" s="216" t="s">
        <v>839</v>
      </c>
      <c r="O1" s="366"/>
      <c r="P1" s="366"/>
      <c r="Q1" s="366"/>
      <c r="R1" s="366"/>
      <c r="S1" s="366"/>
      <c r="T1" s="366"/>
      <c r="U1" s="366"/>
      <c r="V1" s="366"/>
      <c r="W1" s="366"/>
      <c r="X1" s="366"/>
    </row>
    <row r="2" spans="1:32" ht="14.15" customHeight="1">
      <c r="E2" s="210"/>
      <c r="F2" s="210"/>
      <c r="G2" s="210"/>
    </row>
    <row r="3" spans="1:32" s="178" customFormat="1" ht="17.149999999999999" customHeight="1">
      <c r="A3" s="849" t="s">
        <v>495</v>
      </c>
      <c r="B3" s="849" t="s">
        <v>496</v>
      </c>
      <c r="C3" s="849" t="s">
        <v>497</v>
      </c>
      <c r="D3" s="2000" t="s">
        <v>840</v>
      </c>
      <c r="E3" s="2000" t="s">
        <v>841</v>
      </c>
      <c r="F3" s="2059" t="s">
        <v>842</v>
      </c>
      <c r="G3" s="2060"/>
      <c r="H3" s="2061"/>
      <c r="I3" s="2011" t="s">
        <v>843</v>
      </c>
      <c r="J3" s="2062"/>
      <c r="K3" s="2011" t="s">
        <v>844</v>
      </c>
      <c r="L3" s="2012"/>
      <c r="M3" s="2012"/>
      <c r="N3" s="2013"/>
      <c r="O3" s="2011" t="s">
        <v>844</v>
      </c>
      <c r="P3" s="2012"/>
      <c r="Q3" s="2012"/>
      <c r="R3" s="2012"/>
      <c r="S3" s="2012"/>
      <c r="T3" s="2012"/>
      <c r="U3" s="2012"/>
      <c r="V3" s="2012"/>
      <c r="W3" s="2012"/>
      <c r="X3" s="2012"/>
      <c r="Y3" s="2012"/>
      <c r="Z3" s="2012"/>
      <c r="AA3" s="2012"/>
      <c r="AB3" s="2012"/>
      <c r="AC3" s="2012"/>
      <c r="AD3" s="2013"/>
    </row>
    <row r="4" spans="1:32" s="178" customFormat="1" ht="17.149999999999999" customHeight="1">
      <c r="A4" s="849"/>
      <c r="B4" s="849"/>
      <c r="C4" s="849"/>
      <c r="D4" s="2000"/>
      <c r="E4" s="2000"/>
      <c r="F4" s="2063"/>
      <c r="G4" s="2064"/>
      <c r="H4" s="2065"/>
      <c r="I4" s="2000"/>
      <c r="J4" s="2008" t="s">
        <v>845</v>
      </c>
      <c r="K4" s="2000" t="s">
        <v>846</v>
      </c>
      <c r="L4" s="2000"/>
      <c r="M4" s="2059" t="s">
        <v>847</v>
      </c>
      <c r="N4" s="2061"/>
      <c r="O4" s="2000" t="s">
        <v>848</v>
      </c>
      <c r="P4" s="2000"/>
      <c r="Q4" s="2000" t="s">
        <v>849</v>
      </c>
      <c r="R4" s="2000"/>
      <c r="S4" s="2000" t="s">
        <v>850</v>
      </c>
      <c r="T4" s="2000"/>
      <c r="U4" s="2000" t="s">
        <v>851</v>
      </c>
      <c r="V4" s="2000"/>
      <c r="W4" s="2000" t="s">
        <v>852</v>
      </c>
      <c r="X4" s="2000"/>
      <c r="Y4" s="2000" t="s">
        <v>853</v>
      </c>
      <c r="Z4" s="2000"/>
      <c r="AA4" s="2000" t="s">
        <v>854</v>
      </c>
      <c r="AB4" s="2000"/>
      <c r="AC4" s="2000" t="s">
        <v>816</v>
      </c>
      <c r="AD4" s="2000"/>
    </row>
    <row r="5" spans="1:32" s="178" customFormat="1" ht="27" customHeight="1">
      <c r="A5" s="849"/>
      <c r="B5" s="849"/>
      <c r="C5" s="849"/>
      <c r="D5" s="2000"/>
      <c r="E5" s="2000"/>
      <c r="F5" s="2066"/>
      <c r="G5" s="2067"/>
      <c r="H5" s="2068"/>
      <c r="I5" s="2000"/>
      <c r="J5" s="2009"/>
      <c r="K5" s="2000"/>
      <c r="L5" s="2000"/>
      <c r="M5" s="2066"/>
      <c r="N5" s="2068"/>
      <c r="O5" s="2000"/>
      <c r="P5" s="2000"/>
      <c r="Q5" s="2000"/>
      <c r="R5" s="2000"/>
      <c r="S5" s="2000"/>
      <c r="T5" s="2000"/>
      <c r="U5" s="2000"/>
      <c r="V5" s="2000"/>
      <c r="W5" s="2000"/>
      <c r="X5" s="2000"/>
      <c r="Y5" s="2000"/>
      <c r="Z5" s="2000"/>
      <c r="AA5" s="2000"/>
      <c r="AB5" s="2000"/>
      <c r="AC5" s="2000"/>
      <c r="AD5" s="2000"/>
    </row>
    <row r="6" spans="1:32" s="178" customFormat="1" ht="27" customHeight="1">
      <c r="A6" s="849"/>
      <c r="B6" s="849"/>
      <c r="C6" s="849"/>
      <c r="D6" s="2000"/>
      <c r="E6" s="2000"/>
      <c r="F6" s="2020" t="s">
        <v>855</v>
      </c>
      <c r="G6" s="2020" t="s">
        <v>856</v>
      </c>
      <c r="H6" s="2020" t="s">
        <v>34</v>
      </c>
      <c r="I6" s="2000"/>
      <c r="J6" s="2010"/>
      <c r="K6" s="2069" t="s">
        <v>857</v>
      </c>
      <c r="L6" s="2070" t="s">
        <v>858</v>
      </c>
      <c r="M6" s="2020" t="s">
        <v>857</v>
      </c>
      <c r="N6" s="2070" t="s">
        <v>859</v>
      </c>
      <c r="O6" s="2020" t="s">
        <v>857</v>
      </c>
      <c r="P6" s="2070" t="s">
        <v>859</v>
      </c>
      <c r="Q6" s="2020" t="s">
        <v>857</v>
      </c>
      <c r="R6" s="2070" t="s">
        <v>859</v>
      </c>
      <c r="S6" s="2020" t="s">
        <v>857</v>
      </c>
      <c r="T6" s="2070" t="s">
        <v>859</v>
      </c>
      <c r="U6" s="2020" t="s">
        <v>857</v>
      </c>
      <c r="V6" s="2070" t="s">
        <v>859</v>
      </c>
      <c r="W6" s="2020" t="s">
        <v>857</v>
      </c>
      <c r="X6" s="2070" t="s">
        <v>859</v>
      </c>
      <c r="Y6" s="2020" t="s">
        <v>857</v>
      </c>
      <c r="Z6" s="2070" t="s">
        <v>859</v>
      </c>
      <c r="AA6" s="2020" t="s">
        <v>857</v>
      </c>
      <c r="AB6" s="2070" t="s">
        <v>859</v>
      </c>
      <c r="AC6" s="2020" t="s">
        <v>857</v>
      </c>
      <c r="AD6" s="2070" t="s">
        <v>859</v>
      </c>
    </row>
    <row r="7" spans="1:32" s="10" customFormat="1" ht="14.15" customHeight="1">
      <c r="A7" s="912" t="s">
        <v>507</v>
      </c>
      <c r="B7" s="339">
        <v>6</v>
      </c>
      <c r="C7" s="339" t="s">
        <v>687</v>
      </c>
      <c r="D7" s="231">
        <v>18834</v>
      </c>
      <c r="E7" s="231">
        <v>30015</v>
      </c>
      <c r="F7" s="231">
        <v>0</v>
      </c>
      <c r="G7" s="231">
        <v>498682</v>
      </c>
      <c r="H7" s="231">
        <f t="shared" ref="H7:H13" si="0">F7+G7</f>
        <v>498682</v>
      </c>
      <c r="I7" s="231">
        <f t="shared" ref="I7:I13" si="1">D7+E7+H7</f>
        <v>547531</v>
      </c>
      <c r="J7" s="231">
        <f t="shared" ref="J7:J13" si="2">D7+E7+F7</f>
        <v>48849</v>
      </c>
      <c r="K7" s="2071">
        <v>19821</v>
      </c>
      <c r="L7" s="367">
        <f t="shared" ref="L7:L14" si="3">K7/$I7*100</f>
        <v>3.6200690006593232</v>
      </c>
      <c r="M7" s="231">
        <v>322988</v>
      </c>
      <c r="N7" s="367">
        <f t="shared" ref="N7:N14" si="4">M7/$I7*100</f>
        <v>58.98990194162522</v>
      </c>
      <c r="O7" s="231">
        <v>60348</v>
      </c>
      <c r="P7" s="367">
        <f t="shared" ref="P7:P14" si="5">O7/$I7*100</f>
        <v>11.021841685676245</v>
      </c>
      <c r="Q7" s="231">
        <v>2982</v>
      </c>
      <c r="R7" s="367">
        <f t="shared" ref="R7:R14" si="6">Q7/$I7*100</f>
        <v>0.54462669693588128</v>
      </c>
      <c r="S7" s="231">
        <v>94955</v>
      </c>
      <c r="T7" s="367">
        <f t="shared" ref="T7:T14" si="7">S7/$I7*100</f>
        <v>17.342397051491147</v>
      </c>
      <c r="U7" s="231">
        <v>0</v>
      </c>
      <c r="V7" s="367">
        <f t="shared" ref="V7:V14" si="8">U7/$I7*100</f>
        <v>0</v>
      </c>
      <c r="W7" s="231">
        <v>0</v>
      </c>
      <c r="X7" s="367">
        <f t="shared" ref="X7:X14" si="9">W7/$I7*100</f>
        <v>0</v>
      </c>
      <c r="Y7" s="231">
        <v>44391</v>
      </c>
      <c r="Z7" s="367">
        <f t="shared" ref="Z7:Z14" si="10">Y7/$I7*100</f>
        <v>8.1074861514690504</v>
      </c>
      <c r="AA7" s="2072">
        <v>1285</v>
      </c>
      <c r="AB7" s="367">
        <f t="shared" ref="AB7:AB14" si="11">AA7/$I7*100</f>
        <v>0.23468990796868122</v>
      </c>
      <c r="AC7" s="231">
        <v>761</v>
      </c>
      <c r="AD7" s="367">
        <f t="shared" ref="AD7:AD14" si="12">AC7/$I7*100</f>
        <v>0.13898756417444857</v>
      </c>
    </row>
    <row r="8" spans="1:32" s="10" customFormat="1" ht="14.15" customHeight="1">
      <c r="A8" s="912"/>
      <c r="B8" s="340">
        <v>42</v>
      </c>
      <c r="C8" s="340" t="s">
        <v>690</v>
      </c>
      <c r="D8" s="239">
        <v>1860</v>
      </c>
      <c r="E8" s="239">
        <v>15155</v>
      </c>
      <c r="F8" s="239">
        <v>64124</v>
      </c>
      <c r="G8" s="239">
        <v>0</v>
      </c>
      <c r="H8" s="239">
        <f t="shared" si="0"/>
        <v>64124</v>
      </c>
      <c r="I8" s="239">
        <f t="shared" si="1"/>
        <v>81139</v>
      </c>
      <c r="J8" s="239">
        <f t="shared" si="2"/>
        <v>81139</v>
      </c>
      <c r="K8" s="2073">
        <v>1860</v>
      </c>
      <c r="L8" s="368">
        <f t="shared" si="3"/>
        <v>2.29236248906198</v>
      </c>
      <c r="M8" s="239">
        <v>70313</v>
      </c>
      <c r="N8" s="368">
        <f t="shared" si="4"/>
        <v>86.657464351298387</v>
      </c>
      <c r="O8" s="239">
        <v>0</v>
      </c>
      <c r="P8" s="368">
        <f t="shared" si="5"/>
        <v>0</v>
      </c>
      <c r="Q8" s="239">
        <v>0</v>
      </c>
      <c r="R8" s="368">
        <f t="shared" si="6"/>
        <v>0</v>
      </c>
      <c r="S8" s="239">
        <v>6598</v>
      </c>
      <c r="T8" s="368">
        <f t="shared" si="7"/>
        <v>8.1317245714144857</v>
      </c>
      <c r="U8" s="239">
        <v>0</v>
      </c>
      <c r="V8" s="368">
        <f t="shared" si="8"/>
        <v>0</v>
      </c>
      <c r="W8" s="239">
        <v>0</v>
      </c>
      <c r="X8" s="368">
        <f t="shared" si="9"/>
        <v>0</v>
      </c>
      <c r="Y8" s="239">
        <v>2368</v>
      </c>
      <c r="Z8" s="368">
        <f t="shared" si="10"/>
        <v>2.9184485882251443</v>
      </c>
      <c r="AA8" s="2073">
        <v>0</v>
      </c>
      <c r="AB8" s="368">
        <f t="shared" si="11"/>
        <v>0</v>
      </c>
      <c r="AC8" s="239">
        <v>0</v>
      </c>
      <c r="AD8" s="368">
        <f t="shared" si="12"/>
        <v>0</v>
      </c>
    </row>
    <row r="9" spans="1:32" s="10" customFormat="1" ht="14.15" customHeight="1">
      <c r="A9" s="912"/>
      <c r="B9" s="340">
        <v>13</v>
      </c>
      <c r="C9" s="340" t="s">
        <v>691</v>
      </c>
      <c r="D9" s="239">
        <v>9325</v>
      </c>
      <c r="E9" s="239">
        <v>7940</v>
      </c>
      <c r="F9" s="239">
        <v>0</v>
      </c>
      <c r="G9" s="239">
        <v>281631</v>
      </c>
      <c r="H9" s="239">
        <f t="shared" si="0"/>
        <v>281631</v>
      </c>
      <c r="I9" s="239">
        <f t="shared" si="1"/>
        <v>298896</v>
      </c>
      <c r="J9" s="239">
        <f t="shared" si="2"/>
        <v>17265</v>
      </c>
      <c r="K9" s="2073">
        <v>17920</v>
      </c>
      <c r="L9" s="368">
        <f t="shared" si="3"/>
        <v>5.9953963920560991</v>
      </c>
      <c r="M9" s="239">
        <v>39570</v>
      </c>
      <c r="N9" s="368">
        <f t="shared" si="4"/>
        <v>13.238718484021197</v>
      </c>
      <c r="O9" s="239">
        <v>34</v>
      </c>
      <c r="P9" s="368">
        <f t="shared" si="5"/>
        <v>1.1375194047427869E-2</v>
      </c>
      <c r="Q9" s="239">
        <v>1954</v>
      </c>
      <c r="R9" s="368">
        <f t="shared" si="6"/>
        <v>0.65373909319629575</v>
      </c>
      <c r="S9" s="239">
        <v>233044</v>
      </c>
      <c r="T9" s="368">
        <f t="shared" si="7"/>
        <v>77.968256517317059</v>
      </c>
      <c r="U9" s="239">
        <v>0</v>
      </c>
      <c r="V9" s="368">
        <f t="shared" si="8"/>
        <v>0</v>
      </c>
      <c r="W9" s="239">
        <v>0</v>
      </c>
      <c r="X9" s="368">
        <f t="shared" si="9"/>
        <v>0</v>
      </c>
      <c r="Y9" s="239">
        <v>6018</v>
      </c>
      <c r="Z9" s="368">
        <f t="shared" si="10"/>
        <v>2.0134093463947327</v>
      </c>
      <c r="AA9" s="2073">
        <v>0</v>
      </c>
      <c r="AB9" s="368">
        <f t="shared" si="11"/>
        <v>0</v>
      </c>
      <c r="AC9" s="239">
        <v>356</v>
      </c>
      <c r="AD9" s="368">
        <f t="shared" si="12"/>
        <v>0.11910497296718592</v>
      </c>
    </row>
    <row r="10" spans="1:32" s="10" customFormat="1" ht="14.15" customHeight="1">
      <c r="A10" s="912"/>
      <c r="B10" s="340">
        <v>90</v>
      </c>
      <c r="C10" s="340" t="s">
        <v>694</v>
      </c>
      <c r="D10" s="239">
        <v>1116</v>
      </c>
      <c r="E10" s="239">
        <v>5280</v>
      </c>
      <c r="F10" s="239">
        <v>0</v>
      </c>
      <c r="G10" s="239">
        <v>78810</v>
      </c>
      <c r="H10" s="239">
        <f t="shared" si="0"/>
        <v>78810</v>
      </c>
      <c r="I10" s="239">
        <f t="shared" si="1"/>
        <v>85206</v>
      </c>
      <c r="J10" s="239">
        <f t="shared" si="2"/>
        <v>6396</v>
      </c>
      <c r="K10" s="2073">
        <v>0</v>
      </c>
      <c r="L10" s="368">
        <f t="shared" si="3"/>
        <v>0</v>
      </c>
      <c r="M10" s="239">
        <v>45961</v>
      </c>
      <c r="N10" s="368">
        <f t="shared" si="4"/>
        <v>53.941037016172565</v>
      </c>
      <c r="O10" s="239">
        <v>102</v>
      </c>
      <c r="P10" s="368">
        <f t="shared" si="5"/>
        <v>0.11970987958594465</v>
      </c>
      <c r="Q10" s="239">
        <v>1304</v>
      </c>
      <c r="R10" s="368">
        <f t="shared" si="6"/>
        <v>1.5304086566673707</v>
      </c>
      <c r="S10" s="239">
        <v>27913</v>
      </c>
      <c r="T10" s="368">
        <f t="shared" si="7"/>
        <v>32.759430087083068</v>
      </c>
      <c r="U10" s="239">
        <v>28</v>
      </c>
      <c r="V10" s="368">
        <f t="shared" si="8"/>
        <v>3.286153557261226E-2</v>
      </c>
      <c r="W10" s="239">
        <v>0</v>
      </c>
      <c r="X10" s="368">
        <f t="shared" si="9"/>
        <v>0</v>
      </c>
      <c r="Y10" s="239">
        <v>9527</v>
      </c>
      <c r="Z10" s="368">
        <f t="shared" si="10"/>
        <v>11.181137478581322</v>
      </c>
      <c r="AA10" s="2073">
        <v>177</v>
      </c>
      <c r="AB10" s="368">
        <f t="shared" si="11"/>
        <v>0.20773184986972748</v>
      </c>
      <c r="AC10" s="239">
        <v>194</v>
      </c>
      <c r="AD10" s="368">
        <f t="shared" si="12"/>
        <v>0.22768349646738492</v>
      </c>
    </row>
    <row r="11" spans="1:32" s="10" customFormat="1" ht="14.15" customHeight="1">
      <c r="A11" s="912"/>
      <c r="B11" s="340">
        <v>50</v>
      </c>
      <c r="C11" s="340" t="s">
        <v>373</v>
      </c>
      <c r="D11" s="239">
        <v>2298</v>
      </c>
      <c r="E11" s="239">
        <v>1582</v>
      </c>
      <c r="F11" s="239">
        <v>30345</v>
      </c>
      <c r="G11" s="239">
        <v>59455</v>
      </c>
      <c r="H11" s="239">
        <f t="shared" si="0"/>
        <v>89800</v>
      </c>
      <c r="I11" s="239">
        <f t="shared" si="1"/>
        <v>93680</v>
      </c>
      <c r="J11" s="239">
        <f t="shared" si="2"/>
        <v>34225</v>
      </c>
      <c r="K11" s="2073">
        <v>0</v>
      </c>
      <c r="L11" s="368">
        <f t="shared" si="3"/>
        <v>0</v>
      </c>
      <c r="M11" s="239">
        <v>75691</v>
      </c>
      <c r="N11" s="368">
        <f t="shared" si="4"/>
        <v>80.797395388556794</v>
      </c>
      <c r="O11" s="239">
        <v>980</v>
      </c>
      <c r="P11" s="368">
        <f t="shared" si="5"/>
        <v>1.0461144321093083</v>
      </c>
      <c r="Q11" s="239">
        <v>0</v>
      </c>
      <c r="R11" s="368">
        <f t="shared" si="6"/>
        <v>0</v>
      </c>
      <c r="S11" s="239">
        <v>7694</v>
      </c>
      <c r="T11" s="368">
        <f t="shared" si="7"/>
        <v>8.2130657557643048</v>
      </c>
      <c r="U11" s="239">
        <v>0</v>
      </c>
      <c r="V11" s="368">
        <f t="shared" si="8"/>
        <v>0</v>
      </c>
      <c r="W11" s="239">
        <v>0</v>
      </c>
      <c r="X11" s="368">
        <f t="shared" si="9"/>
        <v>0</v>
      </c>
      <c r="Y11" s="239">
        <v>9315</v>
      </c>
      <c r="Z11" s="368">
        <f t="shared" si="10"/>
        <v>9.9434244235695974</v>
      </c>
      <c r="AA11" s="2073">
        <v>0</v>
      </c>
      <c r="AB11" s="368">
        <f t="shared" si="11"/>
        <v>0</v>
      </c>
      <c r="AC11" s="239">
        <v>0</v>
      </c>
      <c r="AD11" s="368">
        <f t="shared" si="12"/>
        <v>0</v>
      </c>
    </row>
    <row r="12" spans="1:32" s="10" customFormat="1" ht="14.15" customHeight="1">
      <c r="A12" s="912"/>
      <c r="B12" s="340">
        <v>37</v>
      </c>
      <c r="C12" s="340" t="s">
        <v>699</v>
      </c>
      <c r="D12" s="239">
        <v>33147</v>
      </c>
      <c r="E12" s="239">
        <v>109100</v>
      </c>
      <c r="F12" s="239">
        <v>11254</v>
      </c>
      <c r="G12" s="239">
        <v>927348</v>
      </c>
      <c r="H12" s="239">
        <f t="shared" si="0"/>
        <v>938602</v>
      </c>
      <c r="I12" s="239">
        <f t="shared" si="1"/>
        <v>1080849</v>
      </c>
      <c r="J12" s="239">
        <f t="shared" si="2"/>
        <v>153501</v>
      </c>
      <c r="K12" s="2073">
        <v>1290</v>
      </c>
      <c r="L12" s="368">
        <f t="shared" si="3"/>
        <v>0.11935062159469084</v>
      </c>
      <c r="M12" s="239">
        <v>841433</v>
      </c>
      <c r="N12" s="368">
        <f t="shared" si="4"/>
        <v>77.849264790918994</v>
      </c>
      <c r="O12" s="239">
        <v>16908</v>
      </c>
      <c r="P12" s="368">
        <f t="shared" si="5"/>
        <v>1.5643258216457618</v>
      </c>
      <c r="Q12" s="239">
        <v>16932</v>
      </c>
      <c r="R12" s="368">
        <f t="shared" si="6"/>
        <v>1.5665462983265932</v>
      </c>
      <c r="S12" s="239">
        <v>116375</v>
      </c>
      <c r="T12" s="368">
        <f t="shared" si="7"/>
        <v>10.766998905490036</v>
      </c>
      <c r="U12" s="239">
        <v>0</v>
      </c>
      <c r="V12" s="368">
        <f t="shared" si="8"/>
        <v>0</v>
      </c>
      <c r="W12" s="239">
        <v>0</v>
      </c>
      <c r="X12" s="368">
        <f t="shared" si="9"/>
        <v>0</v>
      </c>
      <c r="Y12" s="239">
        <v>82516</v>
      </c>
      <c r="Z12" s="368">
        <f t="shared" si="10"/>
        <v>7.6343689081453556</v>
      </c>
      <c r="AA12" s="2073">
        <v>3878</v>
      </c>
      <c r="AB12" s="368">
        <f t="shared" si="11"/>
        <v>0.35879202367768298</v>
      </c>
      <c r="AC12" s="239">
        <v>1517</v>
      </c>
      <c r="AD12" s="368">
        <f t="shared" si="12"/>
        <v>0.1403526302008884</v>
      </c>
    </row>
    <row r="13" spans="1:32" s="10" customFormat="1" ht="14.15" customHeight="1" thickBot="1">
      <c r="A13" s="912"/>
      <c r="B13" s="342">
        <v>86</v>
      </c>
      <c r="C13" s="342" t="s">
        <v>701</v>
      </c>
      <c r="D13" s="247">
        <v>2185</v>
      </c>
      <c r="E13" s="247">
        <v>980</v>
      </c>
      <c r="F13" s="247">
        <v>410</v>
      </c>
      <c r="G13" s="247">
        <v>37479</v>
      </c>
      <c r="H13" s="247">
        <f t="shared" si="0"/>
        <v>37889</v>
      </c>
      <c r="I13" s="247">
        <f t="shared" si="1"/>
        <v>41054</v>
      </c>
      <c r="J13" s="247">
        <f t="shared" si="2"/>
        <v>3575</v>
      </c>
      <c r="K13" s="2074">
        <v>0</v>
      </c>
      <c r="L13" s="369">
        <f t="shared" si="3"/>
        <v>0</v>
      </c>
      <c r="M13" s="247">
        <v>1915</v>
      </c>
      <c r="N13" s="369">
        <f t="shared" si="4"/>
        <v>4.6645881034734744</v>
      </c>
      <c r="O13" s="247">
        <v>15318</v>
      </c>
      <c r="P13" s="369">
        <f t="shared" si="5"/>
        <v>37.311833195303748</v>
      </c>
      <c r="Q13" s="247">
        <v>0</v>
      </c>
      <c r="R13" s="369">
        <f t="shared" si="6"/>
        <v>0</v>
      </c>
      <c r="S13" s="247">
        <v>0</v>
      </c>
      <c r="T13" s="369">
        <f t="shared" si="7"/>
        <v>0</v>
      </c>
      <c r="U13" s="247">
        <v>0</v>
      </c>
      <c r="V13" s="369">
        <f t="shared" si="8"/>
        <v>0</v>
      </c>
      <c r="W13" s="247">
        <v>0</v>
      </c>
      <c r="X13" s="369">
        <f t="shared" si="9"/>
        <v>0</v>
      </c>
      <c r="Y13" s="247">
        <v>23821</v>
      </c>
      <c r="Z13" s="369">
        <f t="shared" si="10"/>
        <v>58.023578701222775</v>
      </c>
      <c r="AA13" s="2072">
        <v>0</v>
      </c>
      <c r="AB13" s="369">
        <f t="shared" si="11"/>
        <v>0</v>
      </c>
      <c r="AC13" s="247">
        <v>0</v>
      </c>
      <c r="AD13" s="369">
        <f t="shared" si="12"/>
        <v>0</v>
      </c>
    </row>
    <row r="14" spans="1:32" s="343" customFormat="1" ht="14.15" customHeight="1" thickTop="1">
      <c r="A14" s="912"/>
      <c r="B14" s="252"/>
      <c r="C14" s="253" t="s">
        <v>34</v>
      </c>
      <c r="D14" s="259">
        <f t="shared" ref="D14:K14" si="13">+SUM(D7:D13)</f>
        <v>68765</v>
      </c>
      <c r="E14" s="259">
        <f t="shared" si="13"/>
        <v>170052</v>
      </c>
      <c r="F14" s="259">
        <f t="shared" si="13"/>
        <v>106133</v>
      </c>
      <c r="G14" s="259">
        <f t="shared" si="13"/>
        <v>1883405</v>
      </c>
      <c r="H14" s="259">
        <f t="shared" si="13"/>
        <v>1989538</v>
      </c>
      <c r="I14" s="259">
        <f t="shared" si="13"/>
        <v>2228355</v>
      </c>
      <c r="J14" s="259">
        <f t="shared" si="13"/>
        <v>344950</v>
      </c>
      <c r="K14" s="259">
        <f t="shared" si="13"/>
        <v>40891</v>
      </c>
      <c r="L14" s="370">
        <f t="shared" si="3"/>
        <v>1.8350307738219451</v>
      </c>
      <c r="M14" s="259">
        <f>+SUM(M7:M13)</f>
        <v>1397871</v>
      </c>
      <c r="N14" s="370">
        <f t="shared" si="4"/>
        <v>62.731072921504882</v>
      </c>
      <c r="O14" s="259">
        <f>+SUM(O7:O13)</f>
        <v>93690</v>
      </c>
      <c r="P14" s="370">
        <f t="shared" si="5"/>
        <v>4.2044467780044021</v>
      </c>
      <c r="Q14" s="259">
        <f>+SUM(Q7:Q13)</f>
        <v>23172</v>
      </c>
      <c r="R14" s="370">
        <f t="shared" si="6"/>
        <v>1.039870218165418</v>
      </c>
      <c r="S14" s="259">
        <f>+SUM(S7:S13)</f>
        <v>486579</v>
      </c>
      <c r="T14" s="370">
        <f t="shared" si="7"/>
        <v>21.835793668423566</v>
      </c>
      <c r="U14" s="259">
        <f>+SUM(U7:U13)</f>
        <v>28</v>
      </c>
      <c r="V14" s="370">
        <f t="shared" si="8"/>
        <v>1.2565322850263984E-3</v>
      </c>
      <c r="W14" s="259">
        <f>+SUM(W7:W13)</f>
        <v>0</v>
      </c>
      <c r="X14" s="370">
        <f t="shared" si="9"/>
        <v>0</v>
      </c>
      <c r="Y14" s="259">
        <f>+SUM(Y7:Y13)</f>
        <v>177956</v>
      </c>
      <c r="Z14" s="370">
        <f t="shared" si="10"/>
        <v>7.9859806897913481</v>
      </c>
      <c r="AA14" s="259">
        <f>+SUM(AA7:AA13)</f>
        <v>5340</v>
      </c>
      <c r="AB14" s="370">
        <f t="shared" si="11"/>
        <v>0.23963865721574884</v>
      </c>
      <c r="AC14" s="259">
        <f>+SUM(AC7:AC13)</f>
        <v>2828</v>
      </c>
      <c r="AD14" s="370">
        <f t="shared" si="12"/>
        <v>0.12690976078766625</v>
      </c>
      <c r="AE14" s="10"/>
      <c r="AF14" s="10"/>
    </row>
    <row r="15" spans="1:32" s="343" customFormat="1" ht="14.15" customHeight="1">
      <c r="A15" s="912"/>
      <c r="B15" s="263"/>
      <c r="C15" s="264"/>
      <c r="D15" s="270"/>
      <c r="E15" s="270"/>
      <c r="F15" s="270"/>
      <c r="G15" s="270"/>
      <c r="H15" s="270"/>
      <c r="I15" s="270"/>
      <c r="J15" s="270"/>
      <c r="K15" s="270"/>
      <c r="L15" s="371"/>
      <c r="M15" s="270"/>
      <c r="N15" s="371"/>
      <c r="O15" s="270"/>
      <c r="P15" s="371"/>
      <c r="Q15" s="270"/>
      <c r="R15" s="371"/>
      <c r="S15" s="270"/>
      <c r="T15" s="371"/>
      <c r="U15" s="270"/>
      <c r="V15" s="371"/>
      <c r="W15" s="270"/>
      <c r="X15" s="371"/>
      <c r="Y15" s="270"/>
      <c r="Z15" s="371"/>
      <c r="AA15" s="270"/>
      <c r="AB15" s="371"/>
      <c r="AC15" s="270"/>
      <c r="AD15" s="371"/>
      <c r="AE15" s="10"/>
      <c r="AF15" s="10"/>
    </row>
    <row r="16" spans="1:32" s="10" customFormat="1" ht="14.15" customHeight="1">
      <c r="A16" s="912" t="s">
        <v>704</v>
      </c>
      <c r="B16" s="339">
        <v>3</v>
      </c>
      <c r="C16" s="339" t="s">
        <v>705</v>
      </c>
      <c r="D16" s="339">
        <v>30371</v>
      </c>
      <c r="E16" s="339">
        <v>56479</v>
      </c>
      <c r="F16" s="339">
        <v>0</v>
      </c>
      <c r="G16" s="339">
        <v>944303</v>
      </c>
      <c r="H16" s="231">
        <f>F16+G16</f>
        <v>944303</v>
      </c>
      <c r="I16" s="231">
        <f>D16+E16+H16</f>
        <v>1031153</v>
      </c>
      <c r="J16" s="231">
        <f>D16+E16+F16</f>
        <v>86850</v>
      </c>
      <c r="K16" s="231">
        <v>7794</v>
      </c>
      <c r="L16" s="367">
        <f>K16/$I16*100</f>
        <v>0.75585291416501721</v>
      </c>
      <c r="M16" s="231">
        <v>877414</v>
      </c>
      <c r="N16" s="367">
        <f>M16/$I16*100</f>
        <v>85.090573367870732</v>
      </c>
      <c r="O16" s="231">
        <v>14323</v>
      </c>
      <c r="P16" s="367">
        <f>O16/$I16*100</f>
        <v>1.3890276224769749</v>
      </c>
      <c r="Q16" s="231">
        <v>4527</v>
      </c>
      <c r="R16" s="367">
        <f>Q16/$I16*100</f>
        <v>0.439023112961898</v>
      </c>
      <c r="S16" s="231">
        <v>73323</v>
      </c>
      <c r="T16" s="367">
        <f>S16/$I16*100</f>
        <v>7.1107779349912192</v>
      </c>
      <c r="U16" s="231">
        <v>0</v>
      </c>
      <c r="V16" s="367">
        <f>U16/$I16*100</f>
        <v>0</v>
      </c>
      <c r="W16" s="231">
        <v>0</v>
      </c>
      <c r="X16" s="367">
        <f>W16/$I16*100</f>
        <v>0</v>
      </c>
      <c r="Y16" s="231">
        <v>50822</v>
      </c>
      <c r="Z16" s="367">
        <f>Y16/$I16*100</f>
        <v>4.9286575319084553</v>
      </c>
      <c r="AA16" s="2072">
        <v>2950</v>
      </c>
      <c r="AB16" s="367">
        <f>AA16/$I16*100</f>
        <v>0.28608751562571222</v>
      </c>
      <c r="AC16" s="231">
        <v>0</v>
      </c>
      <c r="AD16" s="367">
        <f>AC16/$I16*100</f>
        <v>0</v>
      </c>
    </row>
    <row r="17" spans="1:32" s="10" customFormat="1" ht="14.15" customHeight="1">
      <c r="A17" s="912"/>
      <c r="B17" s="341">
        <v>53</v>
      </c>
      <c r="C17" s="341" t="s">
        <v>860</v>
      </c>
      <c r="D17" s="341">
        <v>15848</v>
      </c>
      <c r="E17" s="341">
        <v>34659</v>
      </c>
      <c r="F17" s="341">
        <v>3014</v>
      </c>
      <c r="G17" s="341">
        <v>301082</v>
      </c>
      <c r="H17" s="293">
        <f>F17+G17</f>
        <v>304096</v>
      </c>
      <c r="I17" s="293">
        <f>D17+E17+H17</f>
        <v>354603</v>
      </c>
      <c r="J17" s="293">
        <f>D17+E17+F17</f>
        <v>53521</v>
      </c>
      <c r="K17" s="293">
        <v>1728</v>
      </c>
      <c r="L17" s="372">
        <f>K17/$I17*100</f>
        <v>0.48730552194989885</v>
      </c>
      <c r="M17" s="293">
        <v>232618</v>
      </c>
      <c r="N17" s="372">
        <f>M17/$I17*100</f>
        <v>65.599557815359717</v>
      </c>
      <c r="O17" s="293">
        <v>6366</v>
      </c>
      <c r="P17" s="372">
        <f>O17/$I17*100</f>
        <v>1.7952470791279262</v>
      </c>
      <c r="Q17" s="293">
        <v>905</v>
      </c>
      <c r="R17" s="372">
        <f>Q17/$I17*100</f>
        <v>0.25521498690084404</v>
      </c>
      <c r="S17" s="293">
        <v>70181</v>
      </c>
      <c r="T17" s="372">
        <f>S17/$I17*100</f>
        <v>19.791428724517278</v>
      </c>
      <c r="U17" s="293">
        <v>0</v>
      </c>
      <c r="V17" s="372">
        <f>U17/$I17*100</f>
        <v>0</v>
      </c>
      <c r="W17" s="293">
        <v>0</v>
      </c>
      <c r="X17" s="372">
        <f>W17/$I17*100</f>
        <v>0</v>
      </c>
      <c r="Y17" s="293">
        <v>38768</v>
      </c>
      <c r="Z17" s="372">
        <f>Y17/$I17*100</f>
        <v>10.932789626709306</v>
      </c>
      <c r="AA17" s="2073">
        <v>971</v>
      </c>
      <c r="AB17" s="372">
        <f>AA17/$I17*100</f>
        <v>0.27382735058643048</v>
      </c>
      <c r="AC17" s="293">
        <v>3066</v>
      </c>
      <c r="AD17" s="372">
        <f>AC17/$I17*100</f>
        <v>0.86462889484860539</v>
      </c>
    </row>
    <row r="18" spans="1:32" s="10" customFormat="1" ht="14.15" customHeight="1" thickBot="1">
      <c r="A18" s="912"/>
      <c r="B18" s="340">
        <v>92</v>
      </c>
      <c r="C18" s="340" t="s">
        <v>819</v>
      </c>
      <c r="D18" s="340">
        <v>8943</v>
      </c>
      <c r="E18" s="340">
        <v>46324</v>
      </c>
      <c r="F18" s="340">
        <v>148452</v>
      </c>
      <c r="G18" s="340">
        <v>0</v>
      </c>
      <c r="H18" s="239">
        <f>F18+G18</f>
        <v>148452</v>
      </c>
      <c r="I18" s="239">
        <f>D18+E18+H18</f>
        <v>203719</v>
      </c>
      <c r="J18" s="239">
        <f>D18+E18+F18</f>
        <v>203719</v>
      </c>
      <c r="K18" s="239">
        <v>0</v>
      </c>
      <c r="L18" s="368">
        <f>K18/$I18*100</f>
        <v>0</v>
      </c>
      <c r="M18" s="239">
        <v>53639</v>
      </c>
      <c r="N18" s="368">
        <f>M18/$I18*100</f>
        <v>26.329895591476493</v>
      </c>
      <c r="O18" s="239">
        <v>3019</v>
      </c>
      <c r="P18" s="368">
        <f>O18/$I18*100</f>
        <v>1.4819432649875564</v>
      </c>
      <c r="Q18" s="239">
        <v>0</v>
      </c>
      <c r="R18" s="368">
        <f>Q18/$I18*100</f>
        <v>0</v>
      </c>
      <c r="S18" s="239">
        <v>105720</v>
      </c>
      <c r="T18" s="368">
        <f>S18/$I18*100</f>
        <v>51.895012247262159</v>
      </c>
      <c r="U18" s="239">
        <v>0</v>
      </c>
      <c r="V18" s="368">
        <f>U18/$I18*100</f>
        <v>0</v>
      </c>
      <c r="W18" s="239">
        <v>0</v>
      </c>
      <c r="X18" s="368">
        <f>W18/$I18*100</f>
        <v>0</v>
      </c>
      <c r="Y18" s="239">
        <v>35945</v>
      </c>
      <c r="Z18" s="368">
        <f>Y18/$I18*100</f>
        <v>17.644402338515309</v>
      </c>
      <c r="AA18" s="2073">
        <v>580</v>
      </c>
      <c r="AB18" s="368">
        <f>AA18/$I18*100</f>
        <v>0.28470589390287598</v>
      </c>
      <c r="AC18" s="239">
        <v>4816</v>
      </c>
      <c r="AD18" s="368">
        <f>AC18/$I18*100</f>
        <v>2.3640406638556053</v>
      </c>
    </row>
    <row r="19" spans="1:32" s="343" customFormat="1" ht="14.15" customHeight="1" thickTop="1">
      <c r="A19" s="912"/>
      <c r="B19" s="252"/>
      <c r="C19" s="253" t="s">
        <v>34</v>
      </c>
      <c r="D19" s="259">
        <f t="shared" ref="D19:K19" si="14">+SUM(D16:D18)</f>
        <v>55162</v>
      </c>
      <c r="E19" s="259">
        <f t="shared" si="14"/>
        <v>137462</v>
      </c>
      <c r="F19" s="259">
        <f t="shared" si="14"/>
        <v>151466</v>
      </c>
      <c r="G19" s="259">
        <f t="shared" si="14"/>
        <v>1245385</v>
      </c>
      <c r="H19" s="259">
        <f t="shared" si="14"/>
        <v>1396851</v>
      </c>
      <c r="I19" s="259">
        <f t="shared" si="14"/>
        <v>1589475</v>
      </c>
      <c r="J19" s="259">
        <f t="shared" si="14"/>
        <v>344090</v>
      </c>
      <c r="K19" s="259">
        <f t="shared" si="14"/>
        <v>9522</v>
      </c>
      <c r="L19" s="370">
        <f>K19/$I19*100</f>
        <v>0.59906572925022417</v>
      </c>
      <c r="M19" s="259">
        <f>+SUM(M16:M18)</f>
        <v>1163671</v>
      </c>
      <c r="N19" s="370">
        <f>M19/$I19*100</f>
        <v>73.211028798817225</v>
      </c>
      <c r="O19" s="259">
        <f>+SUM(O16:O18)</f>
        <v>23708</v>
      </c>
      <c r="P19" s="370">
        <f>O19/$I19*100</f>
        <v>1.4915616791707953</v>
      </c>
      <c r="Q19" s="259">
        <f>+SUM(Q16:Q18)</f>
        <v>5432</v>
      </c>
      <c r="R19" s="370">
        <f>Q19/$I19*100</f>
        <v>0.34174806146683656</v>
      </c>
      <c r="S19" s="259">
        <f>+SUM(S16:S18)</f>
        <v>249224</v>
      </c>
      <c r="T19" s="370">
        <f>S19/$I19*100</f>
        <v>15.679642649302442</v>
      </c>
      <c r="U19" s="259">
        <f>+SUM(U16:U18)</f>
        <v>0</v>
      </c>
      <c r="V19" s="370">
        <f>U19/$I19*100</f>
        <v>0</v>
      </c>
      <c r="W19" s="259">
        <f>+SUM(W16:W18)</f>
        <v>0</v>
      </c>
      <c r="X19" s="370">
        <f>W19/$I19*100</f>
        <v>0</v>
      </c>
      <c r="Y19" s="259">
        <f>+SUM(Y16:Y18)</f>
        <v>125535</v>
      </c>
      <c r="Z19" s="370">
        <f>Y19/$I19*100</f>
        <v>7.8978908130042935</v>
      </c>
      <c r="AA19" s="259">
        <f>+SUM(AA16:AA18)</f>
        <v>4501</v>
      </c>
      <c r="AB19" s="370">
        <f>AA19/$I19*100</f>
        <v>0.28317526227213385</v>
      </c>
      <c r="AC19" s="259">
        <f>+SUM(AC16:AC18)</f>
        <v>7882</v>
      </c>
      <c r="AD19" s="370">
        <f>AC19/$I19*100</f>
        <v>0.49588700671605407</v>
      </c>
      <c r="AE19" s="10"/>
      <c r="AF19" s="10"/>
    </row>
    <row r="20" spans="1:32" s="343" customFormat="1" ht="14.15" customHeight="1">
      <c r="A20" s="912"/>
      <c r="B20" s="263"/>
      <c r="C20" s="264"/>
      <c r="D20" s="270"/>
      <c r="E20" s="270"/>
      <c r="F20" s="270"/>
      <c r="G20" s="270"/>
      <c r="H20" s="270"/>
      <c r="I20" s="270"/>
      <c r="J20" s="270"/>
      <c r="K20" s="270"/>
      <c r="L20" s="371"/>
      <c r="M20" s="270"/>
      <c r="N20" s="371"/>
      <c r="O20" s="270"/>
      <c r="P20" s="371"/>
      <c r="Q20" s="270"/>
      <c r="R20" s="371"/>
      <c r="S20" s="270"/>
      <c r="T20" s="371"/>
      <c r="U20" s="270"/>
      <c r="V20" s="371"/>
      <c r="W20" s="270"/>
      <c r="X20" s="371"/>
      <c r="Y20" s="270"/>
      <c r="Z20" s="371"/>
      <c r="AA20" s="270"/>
      <c r="AB20" s="371"/>
      <c r="AC20" s="270"/>
      <c r="AD20" s="371"/>
      <c r="AE20" s="10"/>
      <c r="AF20" s="10"/>
    </row>
    <row r="21" spans="1:32" s="10" customFormat="1" ht="14.15" customHeight="1">
      <c r="A21" s="912" t="s">
        <v>711</v>
      </c>
      <c r="B21" s="339">
        <v>14</v>
      </c>
      <c r="C21" s="339" t="s">
        <v>712</v>
      </c>
      <c r="D21" s="339">
        <v>273</v>
      </c>
      <c r="E21" s="339">
        <v>21717</v>
      </c>
      <c r="F21" s="339">
        <v>2270</v>
      </c>
      <c r="G21" s="339">
        <v>328310</v>
      </c>
      <c r="H21" s="231">
        <f t="shared" ref="H21:H31" si="15">F21+G21</f>
        <v>330580</v>
      </c>
      <c r="I21" s="231">
        <f t="shared" ref="I21:I31" si="16">D21+E21+H21</f>
        <v>352570</v>
      </c>
      <c r="J21" s="231">
        <f t="shared" ref="J21:J31" si="17">D21+E21+F21</f>
        <v>24260</v>
      </c>
      <c r="K21" s="231">
        <v>1515</v>
      </c>
      <c r="L21" s="367">
        <f t="shared" ref="L21:L32" si="18">K21/$I21*100</f>
        <v>0.4297019031681652</v>
      </c>
      <c r="M21" s="231">
        <v>147632</v>
      </c>
      <c r="N21" s="367">
        <f t="shared" ref="N21:N32" si="19">M21/$I21*100</f>
        <v>41.873103213546244</v>
      </c>
      <c r="O21" s="231">
        <v>2671</v>
      </c>
      <c r="P21" s="367">
        <f t="shared" ref="P21:P32" si="20">O21/$I21*100</f>
        <v>0.75758005502453407</v>
      </c>
      <c r="Q21" s="231">
        <v>0</v>
      </c>
      <c r="R21" s="367">
        <f t="shared" ref="R21:R32" si="21">Q21/$I21*100</f>
        <v>0</v>
      </c>
      <c r="S21" s="231">
        <v>175703</v>
      </c>
      <c r="T21" s="367">
        <f t="shared" ref="T21:T32" si="22">S21/$I21*100</f>
        <v>49.834926397594806</v>
      </c>
      <c r="U21" s="231">
        <v>0</v>
      </c>
      <c r="V21" s="367">
        <f t="shared" ref="V21:V32" si="23">U21/$I21*100</f>
        <v>0</v>
      </c>
      <c r="W21" s="231">
        <v>0</v>
      </c>
      <c r="X21" s="367">
        <f t="shared" ref="X21:X32" si="24">W21/$I21*100</f>
        <v>0</v>
      </c>
      <c r="Y21" s="231">
        <v>23381</v>
      </c>
      <c r="Z21" s="367">
        <f t="shared" ref="Z21:Z32" si="25">Y21/$I21*100</f>
        <v>6.6315908897523892</v>
      </c>
      <c r="AA21" s="231">
        <v>832</v>
      </c>
      <c r="AB21" s="367">
        <f t="shared" ref="AB21:AB32" si="26">AA21/$I21*100</f>
        <v>0.23598150721842473</v>
      </c>
      <c r="AC21" s="231">
        <v>836</v>
      </c>
      <c r="AD21" s="367">
        <f t="shared" ref="AD21:AD32" si="27">AC21/$I21*100</f>
        <v>0.23711603369543635</v>
      </c>
    </row>
    <row r="22" spans="1:32" s="10" customFormat="1" ht="14.15" customHeight="1">
      <c r="A22" s="912"/>
      <c r="B22" s="340">
        <v>5</v>
      </c>
      <c r="C22" s="340" t="s">
        <v>714</v>
      </c>
      <c r="D22" s="340">
        <v>7258</v>
      </c>
      <c r="E22" s="340">
        <v>24118</v>
      </c>
      <c r="F22" s="340">
        <v>0</v>
      </c>
      <c r="G22" s="340">
        <v>345593</v>
      </c>
      <c r="H22" s="239">
        <f t="shared" si="15"/>
        <v>345593</v>
      </c>
      <c r="I22" s="239">
        <f t="shared" si="16"/>
        <v>376969</v>
      </c>
      <c r="J22" s="239">
        <f t="shared" si="17"/>
        <v>31376</v>
      </c>
      <c r="K22" s="239">
        <v>23233</v>
      </c>
      <c r="L22" s="368">
        <f t="shared" si="18"/>
        <v>6.1631062501160567</v>
      </c>
      <c r="M22" s="239">
        <v>272450</v>
      </c>
      <c r="N22" s="368">
        <f t="shared" si="19"/>
        <v>72.273847451647228</v>
      </c>
      <c r="O22" s="239">
        <v>34639</v>
      </c>
      <c r="P22" s="368">
        <f t="shared" si="20"/>
        <v>9.1888192397783364</v>
      </c>
      <c r="Q22" s="239">
        <v>45</v>
      </c>
      <c r="R22" s="368">
        <f t="shared" si="21"/>
        <v>1.1937321105979537E-2</v>
      </c>
      <c r="S22" s="239">
        <v>1018</v>
      </c>
      <c r="T22" s="368">
        <f t="shared" si="22"/>
        <v>0.27004873079749264</v>
      </c>
      <c r="U22" s="239">
        <v>0</v>
      </c>
      <c r="V22" s="368">
        <f t="shared" si="23"/>
        <v>0</v>
      </c>
      <c r="W22" s="239">
        <v>0</v>
      </c>
      <c r="X22" s="368">
        <f t="shared" si="24"/>
        <v>0</v>
      </c>
      <c r="Y22" s="239">
        <v>44395</v>
      </c>
      <c r="Z22" s="368">
        <f t="shared" si="25"/>
        <v>11.7768304555547</v>
      </c>
      <c r="AA22" s="239">
        <v>1187</v>
      </c>
      <c r="AB22" s="368">
        <f t="shared" si="26"/>
        <v>0.3148800033955047</v>
      </c>
      <c r="AC22" s="239">
        <v>2</v>
      </c>
      <c r="AD22" s="368">
        <f t="shared" si="27"/>
        <v>5.3054760471020165E-4</v>
      </c>
    </row>
    <row r="23" spans="1:32" s="10" customFormat="1" ht="14.15" customHeight="1">
      <c r="A23" s="912"/>
      <c r="B23" s="340">
        <v>45</v>
      </c>
      <c r="C23" s="340" t="s">
        <v>716</v>
      </c>
      <c r="D23" s="340">
        <v>36266</v>
      </c>
      <c r="E23" s="340">
        <v>43230</v>
      </c>
      <c r="F23" s="340">
        <v>180590</v>
      </c>
      <c r="G23" s="340">
        <v>451895</v>
      </c>
      <c r="H23" s="239">
        <f t="shared" si="15"/>
        <v>632485</v>
      </c>
      <c r="I23" s="239">
        <f t="shared" si="16"/>
        <v>711981</v>
      </c>
      <c r="J23" s="239">
        <f t="shared" si="17"/>
        <v>260086</v>
      </c>
      <c r="K23" s="239">
        <v>4623</v>
      </c>
      <c r="L23" s="368">
        <f t="shared" si="18"/>
        <v>0.64931508003724814</v>
      </c>
      <c r="M23" s="239">
        <v>475369</v>
      </c>
      <c r="N23" s="368">
        <f t="shared" si="19"/>
        <v>66.767090694835957</v>
      </c>
      <c r="O23" s="239">
        <v>9963</v>
      </c>
      <c r="P23" s="368">
        <f t="shared" si="20"/>
        <v>1.399335094616289</v>
      </c>
      <c r="Q23" s="239">
        <v>19150</v>
      </c>
      <c r="R23" s="368">
        <f t="shared" si="21"/>
        <v>2.6896785167019908</v>
      </c>
      <c r="S23" s="239">
        <v>169057</v>
      </c>
      <c r="T23" s="368">
        <f t="shared" si="22"/>
        <v>23.744594307994173</v>
      </c>
      <c r="U23" s="239">
        <v>0</v>
      </c>
      <c r="V23" s="368">
        <f t="shared" si="23"/>
        <v>0</v>
      </c>
      <c r="W23" s="239">
        <v>0</v>
      </c>
      <c r="X23" s="368">
        <f t="shared" si="24"/>
        <v>0</v>
      </c>
      <c r="Y23" s="239">
        <v>26349</v>
      </c>
      <c r="Z23" s="368">
        <f t="shared" si="25"/>
        <v>3.7008010045211885</v>
      </c>
      <c r="AA23" s="239">
        <v>752</v>
      </c>
      <c r="AB23" s="368">
        <f t="shared" si="26"/>
        <v>0.10562079606056902</v>
      </c>
      <c r="AC23" s="239">
        <v>6718</v>
      </c>
      <c r="AD23" s="368">
        <f t="shared" si="27"/>
        <v>0.94356450523258339</v>
      </c>
    </row>
    <row r="24" spans="1:32" s="10" customFormat="1" ht="14.15" customHeight="1">
      <c r="A24" s="912"/>
      <c r="B24" s="340">
        <v>17</v>
      </c>
      <c r="C24" s="340" t="s">
        <v>717</v>
      </c>
      <c r="D24" s="340">
        <v>3116</v>
      </c>
      <c r="E24" s="340">
        <v>14446</v>
      </c>
      <c r="F24" s="340">
        <v>0</v>
      </c>
      <c r="G24" s="340">
        <v>99637</v>
      </c>
      <c r="H24" s="239">
        <f t="shared" si="15"/>
        <v>99637</v>
      </c>
      <c r="I24" s="239">
        <f t="shared" si="16"/>
        <v>117199</v>
      </c>
      <c r="J24" s="239">
        <f t="shared" si="17"/>
        <v>17562</v>
      </c>
      <c r="K24" s="239">
        <v>28690</v>
      </c>
      <c r="L24" s="368">
        <f t="shared" si="18"/>
        <v>24.479731055725733</v>
      </c>
      <c r="M24" s="239">
        <v>56371</v>
      </c>
      <c r="N24" s="368">
        <f t="shared" si="19"/>
        <v>48.0985332639357</v>
      </c>
      <c r="O24" s="239">
        <v>1641</v>
      </c>
      <c r="P24" s="368">
        <f t="shared" si="20"/>
        <v>1.4001825954146367</v>
      </c>
      <c r="Q24" s="239">
        <v>0</v>
      </c>
      <c r="R24" s="368">
        <f t="shared" si="21"/>
        <v>0</v>
      </c>
      <c r="S24" s="239">
        <v>12845</v>
      </c>
      <c r="T24" s="368">
        <f t="shared" si="22"/>
        <v>10.959991126204148</v>
      </c>
      <c r="U24" s="239">
        <v>420</v>
      </c>
      <c r="V24" s="368">
        <f t="shared" si="23"/>
        <v>0.35836483246444084</v>
      </c>
      <c r="W24" s="239">
        <v>0</v>
      </c>
      <c r="X24" s="368">
        <f t="shared" si="24"/>
        <v>0</v>
      </c>
      <c r="Y24" s="239">
        <v>17106</v>
      </c>
      <c r="Z24" s="368">
        <f t="shared" si="25"/>
        <v>14.595687676516011</v>
      </c>
      <c r="AA24" s="239">
        <v>126</v>
      </c>
      <c r="AB24" s="368">
        <f t="shared" si="26"/>
        <v>0.10750944973933224</v>
      </c>
      <c r="AC24" s="239">
        <v>0</v>
      </c>
      <c r="AD24" s="368">
        <f t="shared" si="27"/>
        <v>0</v>
      </c>
    </row>
    <row r="25" spans="1:32" s="10" customFormat="1" ht="14.15" customHeight="1">
      <c r="A25" s="912"/>
      <c r="B25" s="340">
        <v>58</v>
      </c>
      <c r="C25" s="340" t="s">
        <v>719</v>
      </c>
      <c r="D25" s="340">
        <v>14484</v>
      </c>
      <c r="E25" s="340">
        <v>25582</v>
      </c>
      <c r="F25" s="340">
        <v>16204</v>
      </c>
      <c r="G25" s="340">
        <v>264953</v>
      </c>
      <c r="H25" s="239">
        <f t="shared" si="15"/>
        <v>281157</v>
      </c>
      <c r="I25" s="239">
        <f t="shared" si="16"/>
        <v>321223</v>
      </c>
      <c r="J25" s="239">
        <f t="shared" si="17"/>
        <v>56270</v>
      </c>
      <c r="K25" s="239">
        <v>0</v>
      </c>
      <c r="L25" s="368">
        <f t="shared" si="18"/>
        <v>0</v>
      </c>
      <c r="M25" s="239">
        <v>248689</v>
      </c>
      <c r="N25" s="368">
        <f t="shared" si="19"/>
        <v>77.419425134563838</v>
      </c>
      <c r="O25" s="239">
        <v>18758</v>
      </c>
      <c r="P25" s="368">
        <f t="shared" si="20"/>
        <v>5.8395569433072971</v>
      </c>
      <c r="Q25" s="239">
        <v>146</v>
      </c>
      <c r="R25" s="368">
        <f t="shared" si="21"/>
        <v>4.54512908477911E-2</v>
      </c>
      <c r="S25" s="239">
        <v>10289</v>
      </c>
      <c r="T25" s="368">
        <f t="shared" si="22"/>
        <v>3.2030707639241278</v>
      </c>
      <c r="U25" s="239">
        <v>744</v>
      </c>
      <c r="V25" s="368">
        <f t="shared" si="23"/>
        <v>0.23161479719696287</v>
      </c>
      <c r="W25" s="239">
        <v>0</v>
      </c>
      <c r="X25" s="368">
        <f t="shared" si="24"/>
        <v>0</v>
      </c>
      <c r="Y25" s="239">
        <v>42210</v>
      </c>
      <c r="Z25" s="368">
        <f t="shared" si="25"/>
        <v>13.140404018392207</v>
      </c>
      <c r="AA25" s="239">
        <v>387</v>
      </c>
      <c r="AB25" s="368">
        <f t="shared" si="26"/>
        <v>0.12047705176777503</v>
      </c>
      <c r="AC25" s="239">
        <v>0</v>
      </c>
      <c r="AD25" s="368">
        <f t="shared" si="27"/>
        <v>0</v>
      </c>
    </row>
    <row r="26" spans="1:32" s="10" customFormat="1" ht="14.15" customHeight="1">
      <c r="A26" s="912"/>
      <c r="B26" s="340">
        <v>56</v>
      </c>
      <c r="C26" s="340" t="s">
        <v>720</v>
      </c>
      <c r="D26" s="340">
        <v>0</v>
      </c>
      <c r="E26" s="340">
        <v>4015</v>
      </c>
      <c r="F26" s="340">
        <v>6</v>
      </c>
      <c r="G26" s="340">
        <v>146813</v>
      </c>
      <c r="H26" s="239">
        <f t="shared" si="15"/>
        <v>146819</v>
      </c>
      <c r="I26" s="239">
        <f t="shared" si="16"/>
        <v>150834</v>
      </c>
      <c r="J26" s="239">
        <f t="shared" si="17"/>
        <v>4021</v>
      </c>
      <c r="K26" s="239">
        <v>0</v>
      </c>
      <c r="L26" s="368">
        <f t="shared" si="18"/>
        <v>0</v>
      </c>
      <c r="M26" s="239">
        <v>72232</v>
      </c>
      <c r="N26" s="368">
        <f t="shared" si="19"/>
        <v>47.888407123062436</v>
      </c>
      <c r="O26" s="239">
        <v>82</v>
      </c>
      <c r="P26" s="368">
        <f t="shared" si="20"/>
        <v>5.4364400599334367E-2</v>
      </c>
      <c r="Q26" s="239">
        <v>0</v>
      </c>
      <c r="R26" s="368">
        <f t="shared" si="21"/>
        <v>0</v>
      </c>
      <c r="S26" s="239">
        <v>71069</v>
      </c>
      <c r="T26" s="368">
        <f t="shared" si="22"/>
        <v>47.117360807245049</v>
      </c>
      <c r="U26" s="239">
        <v>0</v>
      </c>
      <c r="V26" s="368">
        <f t="shared" si="23"/>
        <v>0</v>
      </c>
      <c r="W26" s="239">
        <v>0</v>
      </c>
      <c r="X26" s="368">
        <f t="shared" si="24"/>
        <v>0</v>
      </c>
      <c r="Y26" s="239">
        <v>6251</v>
      </c>
      <c r="Z26" s="368">
        <f t="shared" si="25"/>
        <v>4.1442910749565751</v>
      </c>
      <c r="AA26" s="239">
        <v>6</v>
      </c>
      <c r="AB26" s="368">
        <f t="shared" si="26"/>
        <v>3.977882970683003E-3</v>
      </c>
      <c r="AC26" s="239">
        <v>1194</v>
      </c>
      <c r="AD26" s="368">
        <f t="shared" si="27"/>
        <v>0.7915987111659174</v>
      </c>
    </row>
    <row r="27" spans="1:32" s="10" customFormat="1" ht="14.15" customHeight="1">
      <c r="A27" s="912"/>
      <c r="B27" s="340">
        <v>71</v>
      </c>
      <c r="C27" s="340" t="s">
        <v>721</v>
      </c>
      <c r="D27" s="340">
        <v>1511</v>
      </c>
      <c r="E27" s="340">
        <v>5727</v>
      </c>
      <c r="F27" s="340">
        <v>0</v>
      </c>
      <c r="G27" s="340">
        <v>25721</v>
      </c>
      <c r="H27" s="239">
        <f t="shared" si="15"/>
        <v>25721</v>
      </c>
      <c r="I27" s="239">
        <f t="shared" si="16"/>
        <v>32959</v>
      </c>
      <c r="J27" s="239">
        <f t="shared" si="17"/>
        <v>7238</v>
      </c>
      <c r="K27" s="239">
        <v>0</v>
      </c>
      <c r="L27" s="368">
        <f t="shared" si="18"/>
        <v>0</v>
      </c>
      <c r="M27" s="239">
        <v>7572</v>
      </c>
      <c r="N27" s="368">
        <f t="shared" si="19"/>
        <v>22.973997997512061</v>
      </c>
      <c r="O27" s="239">
        <v>0</v>
      </c>
      <c r="P27" s="368">
        <f t="shared" si="20"/>
        <v>0</v>
      </c>
      <c r="Q27" s="239">
        <v>700</v>
      </c>
      <c r="R27" s="368">
        <f t="shared" si="21"/>
        <v>2.1238508449892288</v>
      </c>
      <c r="S27" s="239">
        <v>19832</v>
      </c>
      <c r="T27" s="368">
        <f t="shared" si="22"/>
        <v>60.171728511180554</v>
      </c>
      <c r="U27" s="239">
        <v>0</v>
      </c>
      <c r="V27" s="368">
        <f t="shared" si="23"/>
        <v>0</v>
      </c>
      <c r="W27" s="239">
        <v>0</v>
      </c>
      <c r="X27" s="368">
        <f t="shared" si="24"/>
        <v>0</v>
      </c>
      <c r="Y27" s="239">
        <v>1673</v>
      </c>
      <c r="Z27" s="368">
        <f t="shared" si="25"/>
        <v>5.0760035195242574</v>
      </c>
      <c r="AA27" s="239">
        <v>3182</v>
      </c>
      <c r="AB27" s="368">
        <f t="shared" si="26"/>
        <v>9.6544191267938952</v>
      </c>
      <c r="AC27" s="239">
        <v>0</v>
      </c>
      <c r="AD27" s="368">
        <f t="shared" si="27"/>
        <v>0</v>
      </c>
    </row>
    <row r="28" spans="1:32" s="10" customFormat="1" ht="14.15" customHeight="1">
      <c r="A28" s="912"/>
      <c r="B28" s="340">
        <v>78</v>
      </c>
      <c r="C28" s="340" t="s">
        <v>722</v>
      </c>
      <c r="D28" s="340">
        <v>0</v>
      </c>
      <c r="E28" s="340">
        <v>2290</v>
      </c>
      <c r="F28" s="340">
        <v>54833</v>
      </c>
      <c r="G28" s="340">
        <v>13099</v>
      </c>
      <c r="H28" s="239">
        <f t="shared" si="15"/>
        <v>67932</v>
      </c>
      <c r="I28" s="239">
        <f t="shared" si="16"/>
        <v>70222</v>
      </c>
      <c r="J28" s="239">
        <f t="shared" si="17"/>
        <v>57123</v>
      </c>
      <c r="K28" s="239">
        <v>0</v>
      </c>
      <c r="L28" s="368">
        <f t="shared" si="18"/>
        <v>0</v>
      </c>
      <c r="M28" s="239">
        <v>0</v>
      </c>
      <c r="N28" s="368">
        <f t="shared" si="19"/>
        <v>0</v>
      </c>
      <c r="O28" s="239">
        <v>0</v>
      </c>
      <c r="P28" s="368">
        <f t="shared" si="20"/>
        <v>0</v>
      </c>
      <c r="Q28" s="239">
        <v>0</v>
      </c>
      <c r="R28" s="368">
        <f t="shared" si="21"/>
        <v>0</v>
      </c>
      <c r="S28" s="239">
        <v>47249</v>
      </c>
      <c r="T28" s="368">
        <f t="shared" si="22"/>
        <v>67.285181282219256</v>
      </c>
      <c r="U28" s="239">
        <v>0</v>
      </c>
      <c r="V28" s="368">
        <f t="shared" si="23"/>
        <v>0</v>
      </c>
      <c r="W28" s="239">
        <v>0</v>
      </c>
      <c r="X28" s="368">
        <f t="shared" si="24"/>
        <v>0</v>
      </c>
      <c r="Y28" s="239">
        <v>22973</v>
      </c>
      <c r="Z28" s="368">
        <f t="shared" si="25"/>
        <v>32.714818717780751</v>
      </c>
      <c r="AA28" s="239">
        <v>0</v>
      </c>
      <c r="AB28" s="368">
        <f t="shared" si="26"/>
        <v>0</v>
      </c>
      <c r="AC28" s="239">
        <v>0</v>
      </c>
      <c r="AD28" s="368">
        <f t="shared" si="27"/>
        <v>0</v>
      </c>
    </row>
    <row r="29" spans="1:32" s="10" customFormat="1" ht="14.15" customHeight="1">
      <c r="A29" s="912"/>
      <c r="B29" s="340">
        <v>79</v>
      </c>
      <c r="C29" s="340" t="s">
        <v>723</v>
      </c>
      <c r="D29" s="340">
        <v>1356</v>
      </c>
      <c r="E29" s="340">
        <v>7845</v>
      </c>
      <c r="F29" s="340">
        <v>0</v>
      </c>
      <c r="G29" s="340">
        <v>42359</v>
      </c>
      <c r="H29" s="239">
        <f t="shared" si="15"/>
        <v>42359</v>
      </c>
      <c r="I29" s="239">
        <f t="shared" si="16"/>
        <v>51560</v>
      </c>
      <c r="J29" s="239">
        <f t="shared" si="17"/>
        <v>9201</v>
      </c>
      <c r="K29" s="239">
        <v>0</v>
      </c>
      <c r="L29" s="368">
        <f t="shared" si="18"/>
        <v>0</v>
      </c>
      <c r="M29" s="239">
        <v>10317</v>
      </c>
      <c r="N29" s="368">
        <f t="shared" si="19"/>
        <v>20.009697439875872</v>
      </c>
      <c r="O29" s="239">
        <v>2663</v>
      </c>
      <c r="P29" s="368">
        <f t="shared" si="20"/>
        <v>5.1648564778898374</v>
      </c>
      <c r="Q29" s="239">
        <v>0</v>
      </c>
      <c r="R29" s="368">
        <f t="shared" si="21"/>
        <v>0</v>
      </c>
      <c r="S29" s="239">
        <v>32532</v>
      </c>
      <c r="T29" s="368">
        <f t="shared" si="22"/>
        <v>63.095422808378586</v>
      </c>
      <c r="U29" s="239">
        <v>0</v>
      </c>
      <c r="V29" s="368">
        <f t="shared" si="23"/>
        <v>0</v>
      </c>
      <c r="W29" s="239">
        <v>0</v>
      </c>
      <c r="X29" s="368">
        <f t="shared" si="24"/>
        <v>0</v>
      </c>
      <c r="Y29" s="239">
        <v>6048</v>
      </c>
      <c r="Z29" s="368">
        <f t="shared" si="25"/>
        <v>11.730023273855702</v>
      </c>
      <c r="AA29" s="239">
        <v>0</v>
      </c>
      <c r="AB29" s="368">
        <f t="shared" si="26"/>
        <v>0</v>
      </c>
      <c r="AC29" s="239">
        <v>0</v>
      </c>
      <c r="AD29" s="368">
        <f t="shared" si="27"/>
        <v>0</v>
      </c>
    </row>
    <row r="30" spans="1:32" s="10" customFormat="1" ht="14.15" customHeight="1">
      <c r="A30" s="912"/>
      <c r="B30" s="340">
        <v>80</v>
      </c>
      <c r="C30" s="340" t="s">
        <v>724</v>
      </c>
      <c r="D30" s="340">
        <v>3800</v>
      </c>
      <c r="E30" s="340">
        <v>1747</v>
      </c>
      <c r="F30" s="340">
        <v>0</v>
      </c>
      <c r="G30" s="340">
        <v>40525</v>
      </c>
      <c r="H30" s="239">
        <f t="shared" si="15"/>
        <v>40525</v>
      </c>
      <c r="I30" s="239">
        <f t="shared" si="16"/>
        <v>46072</v>
      </c>
      <c r="J30" s="239">
        <f t="shared" si="17"/>
        <v>5547</v>
      </c>
      <c r="K30" s="239">
        <v>3674</v>
      </c>
      <c r="L30" s="368">
        <f t="shared" si="18"/>
        <v>7.9744747351970835</v>
      </c>
      <c r="M30" s="239">
        <v>23483</v>
      </c>
      <c r="N30" s="368">
        <f t="shared" si="19"/>
        <v>50.970220524396595</v>
      </c>
      <c r="O30" s="239">
        <v>2732</v>
      </c>
      <c r="P30" s="368">
        <f t="shared" si="20"/>
        <v>5.9298489321062684</v>
      </c>
      <c r="Q30" s="239">
        <v>0</v>
      </c>
      <c r="R30" s="368">
        <f t="shared" si="21"/>
        <v>0</v>
      </c>
      <c r="S30" s="239">
        <v>16183</v>
      </c>
      <c r="T30" s="368">
        <f t="shared" si="22"/>
        <v>35.125455808300053</v>
      </c>
      <c r="U30" s="239">
        <v>0</v>
      </c>
      <c r="V30" s="368">
        <f t="shared" si="23"/>
        <v>0</v>
      </c>
      <c r="W30" s="239">
        <v>0</v>
      </c>
      <c r="X30" s="368">
        <f t="shared" si="24"/>
        <v>0</v>
      </c>
      <c r="Y30" s="239">
        <v>0</v>
      </c>
      <c r="Z30" s="368">
        <f t="shared" si="25"/>
        <v>0</v>
      </c>
      <c r="AA30" s="239">
        <v>0</v>
      </c>
      <c r="AB30" s="368">
        <f t="shared" si="26"/>
        <v>0</v>
      </c>
      <c r="AC30" s="239">
        <v>0</v>
      </c>
      <c r="AD30" s="368">
        <f t="shared" si="27"/>
        <v>0</v>
      </c>
    </row>
    <row r="31" spans="1:32" s="10" customFormat="1" ht="14.15" customHeight="1" thickBot="1">
      <c r="A31" s="912"/>
      <c r="B31" s="342">
        <v>85</v>
      </c>
      <c r="C31" s="342" t="s">
        <v>725</v>
      </c>
      <c r="D31" s="342">
        <v>1046</v>
      </c>
      <c r="E31" s="342">
        <v>1983</v>
      </c>
      <c r="F31" s="342">
        <v>0</v>
      </c>
      <c r="G31" s="342">
        <v>42457</v>
      </c>
      <c r="H31" s="247">
        <f t="shared" si="15"/>
        <v>42457</v>
      </c>
      <c r="I31" s="247">
        <f t="shared" si="16"/>
        <v>45486</v>
      </c>
      <c r="J31" s="247">
        <f t="shared" si="17"/>
        <v>3029</v>
      </c>
      <c r="K31" s="247">
        <v>0</v>
      </c>
      <c r="L31" s="369">
        <f t="shared" si="18"/>
        <v>0</v>
      </c>
      <c r="M31" s="247">
        <v>0</v>
      </c>
      <c r="N31" s="369">
        <f t="shared" si="19"/>
        <v>0</v>
      </c>
      <c r="O31" s="247">
        <v>0</v>
      </c>
      <c r="P31" s="369">
        <f t="shared" si="20"/>
        <v>0</v>
      </c>
      <c r="Q31" s="247">
        <v>0</v>
      </c>
      <c r="R31" s="369">
        <f t="shared" si="21"/>
        <v>0</v>
      </c>
      <c r="S31" s="247">
        <v>37964</v>
      </c>
      <c r="T31" s="369">
        <f t="shared" si="22"/>
        <v>83.463043573846889</v>
      </c>
      <c r="U31" s="247">
        <v>0</v>
      </c>
      <c r="V31" s="369">
        <f t="shared" si="23"/>
        <v>0</v>
      </c>
      <c r="W31" s="247">
        <v>0</v>
      </c>
      <c r="X31" s="369">
        <f t="shared" si="24"/>
        <v>0</v>
      </c>
      <c r="Y31" s="247">
        <v>7522</v>
      </c>
      <c r="Z31" s="369">
        <f t="shared" si="25"/>
        <v>16.5369564261531</v>
      </c>
      <c r="AA31" s="247">
        <v>0</v>
      </c>
      <c r="AB31" s="369">
        <f t="shared" si="26"/>
        <v>0</v>
      </c>
      <c r="AC31" s="247">
        <v>0</v>
      </c>
      <c r="AD31" s="369">
        <f t="shared" si="27"/>
        <v>0</v>
      </c>
    </row>
    <row r="32" spans="1:32" s="343" customFormat="1" ht="14.15" customHeight="1" thickTop="1">
      <c r="A32" s="912"/>
      <c r="B32" s="252"/>
      <c r="C32" s="253" t="s">
        <v>34</v>
      </c>
      <c r="D32" s="259">
        <f t="shared" ref="D32:K32" si="28">+SUM(D21:D31)</f>
        <v>69110</v>
      </c>
      <c r="E32" s="259">
        <f t="shared" si="28"/>
        <v>152700</v>
      </c>
      <c r="F32" s="259">
        <f t="shared" si="28"/>
        <v>253903</v>
      </c>
      <c r="G32" s="259">
        <f t="shared" si="28"/>
        <v>1801362</v>
      </c>
      <c r="H32" s="259">
        <f t="shared" si="28"/>
        <v>2055265</v>
      </c>
      <c r="I32" s="259">
        <f t="shared" si="28"/>
        <v>2277075</v>
      </c>
      <c r="J32" s="259">
        <f t="shared" si="28"/>
        <v>475713</v>
      </c>
      <c r="K32" s="259">
        <f t="shared" si="28"/>
        <v>61735</v>
      </c>
      <c r="L32" s="370">
        <f t="shared" si="18"/>
        <v>2.7111535632335344</v>
      </c>
      <c r="M32" s="259">
        <f>+SUM(M21:M31)</f>
        <v>1314115</v>
      </c>
      <c r="N32" s="370">
        <f t="shared" si="19"/>
        <v>57.710659508360507</v>
      </c>
      <c r="O32" s="259">
        <f>+SUM(O21:O31)</f>
        <v>73149</v>
      </c>
      <c r="P32" s="370">
        <f t="shared" si="20"/>
        <v>3.2124106584104606</v>
      </c>
      <c r="Q32" s="259">
        <f>+SUM(Q21:Q31)</f>
        <v>20041</v>
      </c>
      <c r="R32" s="370">
        <f t="shared" si="21"/>
        <v>0.88012032980907517</v>
      </c>
      <c r="S32" s="259">
        <f>+SUM(S21:S31)</f>
        <v>593741</v>
      </c>
      <c r="T32" s="370">
        <f t="shared" si="22"/>
        <v>26.074723054796173</v>
      </c>
      <c r="U32" s="259">
        <f>+SUM(U21:U31)</f>
        <v>1164</v>
      </c>
      <c r="V32" s="370">
        <f t="shared" si="23"/>
        <v>5.1118210862619806E-2</v>
      </c>
      <c r="W32" s="259">
        <f>+SUM(W21:W31)</f>
        <v>0</v>
      </c>
      <c r="X32" s="370">
        <f t="shared" si="24"/>
        <v>0</v>
      </c>
      <c r="Y32" s="259">
        <f>+SUM(Y21:Y31)</f>
        <v>197908</v>
      </c>
      <c r="Z32" s="370">
        <f t="shared" si="25"/>
        <v>8.6913254943293481</v>
      </c>
      <c r="AA32" s="259">
        <f>+SUM(AA21:AA31)</f>
        <v>6472</v>
      </c>
      <c r="AB32" s="370">
        <f t="shared" si="26"/>
        <v>0.28422427895436031</v>
      </c>
      <c r="AC32" s="259">
        <f>+SUM(AC21:AC31)</f>
        <v>8750</v>
      </c>
      <c r="AD32" s="370">
        <f t="shared" si="27"/>
        <v>0.38426490124392038</v>
      </c>
      <c r="AE32" s="10"/>
      <c r="AF32" s="10"/>
    </row>
    <row r="33" spans="1:32" s="343" customFormat="1" ht="14.15" customHeight="1">
      <c r="A33" s="912"/>
      <c r="B33" s="263"/>
      <c r="C33" s="264"/>
      <c r="D33" s="270"/>
      <c r="E33" s="270"/>
      <c r="F33" s="270"/>
      <c r="G33" s="270"/>
      <c r="H33" s="270"/>
      <c r="I33" s="270"/>
      <c r="J33" s="270"/>
      <c r="K33" s="270"/>
      <c r="L33" s="371"/>
      <c r="M33" s="270"/>
      <c r="N33" s="371"/>
      <c r="O33" s="270"/>
      <c r="P33" s="371"/>
      <c r="Q33" s="270"/>
      <c r="R33" s="371"/>
      <c r="S33" s="270"/>
      <c r="T33" s="371"/>
      <c r="U33" s="270"/>
      <c r="V33" s="371"/>
      <c r="W33" s="270"/>
      <c r="X33" s="371"/>
      <c r="Y33" s="270"/>
      <c r="Z33" s="371"/>
      <c r="AA33" s="270"/>
      <c r="AB33" s="371"/>
      <c r="AC33" s="270"/>
      <c r="AD33" s="371"/>
      <c r="AE33" s="10"/>
      <c r="AF33" s="10"/>
    </row>
    <row r="34" spans="1:32" s="10" customFormat="1" ht="14.15" customHeight="1">
      <c r="A34" s="912" t="s">
        <v>512</v>
      </c>
      <c r="B34" s="339">
        <v>35</v>
      </c>
      <c r="C34" s="339" t="s">
        <v>726</v>
      </c>
      <c r="D34" s="339">
        <v>9454</v>
      </c>
      <c r="E34" s="339">
        <v>57867</v>
      </c>
      <c r="F34" s="339">
        <v>0</v>
      </c>
      <c r="G34" s="339">
        <v>552558</v>
      </c>
      <c r="H34" s="231">
        <f t="shared" ref="H34:H41" si="29">F34+G34</f>
        <v>552558</v>
      </c>
      <c r="I34" s="231">
        <f t="shared" ref="I34:I41" si="30">D34+E34+H34</f>
        <v>619879</v>
      </c>
      <c r="J34" s="231">
        <f t="shared" ref="J34:J41" si="31">D34+E34+F34</f>
        <v>67321</v>
      </c>
      <c r="K34" s="231">
        <v>7128</v>
      </c>
      <c r="L34" s="367">
        <f t="shared" ref="L34:L42" si="32">K34/$I34*100</f>
        <v>1.1499018356808344</v>
      </c>
      <c r="M34" s="231">
        <v>219176</v>
      </c>
      <c r="N34" s="367">
        <f t="shared" ref="N34:N42" si="33">M34/$I34*100</f>
        <v>35.357868229122133</v>
      </c>
      <c r="O34" s="231">
        <v>6762</v>
      </c>
      <c r="P34" s="367">
        <f t="shared" ref="P34:P42" si="34">O34/$I34*100</f>
        <v>1.0908580545558084</v>
      </c>
      <c r="Q34" s="231">
        <v>12533</v>
      </c>
      <c r="R34" s="367">
        <f t="shared" ref="R34:R42" si="35">Q34/$I34*100</f>
        <v>2.0218461990162599</v>
      </c>
      <c r="S34" s="231">
        <v>337467</v>
      </c>
      <c r="T34" s="367">
        <f t="shared" ref="T34:T42" si="36">S34/$I34*100</f>
        <v>54.440786024369267</v>
      </c>
      <c r="U34" s="231">
        <v>1330</v>
      </c>
      <c r="V34" s="367">
        <f t="shared" ref="V34:V42" si="37">U34/$I34*100</f>
        <v>0.214558002448865</v>
      </c>
      <c r="W34" s="231">
        <v>0</v>
      </c>
      <c r="X34" s="367">
        <f t="shared" ref="X34:X42" si="38">W34/$I34*100</f>
        <v>0</v>
      </c>
      <c r="Y34" s="231">
        <v>33602</v>
      </c>
      <c r="Z34" s="367">
        <f t="shared" ref="Z34:Z42" si="39">Y34/$I34*100</f>
        <v>5.4207353370577156</v>
      </c>
      <c r="AA34" s="231">
        <v>865</v>
      </c>
      <c r="AB34" s="367">
        <f t="shared" ref="AB34:AB42" si="40">AA34/$I34*100</f>
        <v>0.13954336249493854</v>
      </c>
      <c r="AC34" s="231">
        <v>1016</v>
      </c>
      <c r="AD34" s="367">
        <f t="shared" ref="AD34:AD42" si="41">AC34/$I34*100</f>
        <v>0.16390295525417056</v>
      </c>
    </row>
    <row r="35" spans="1:32" s="10" customFormat="1" ht="14.15" customHeight="1">
      <c r="A35" s="912"/>
      <c r="B35" s="340">
        <v>29</v>
      </c>
      <c r="C35" s="340" t="s">
        <v>727</v>
      </c>
      <c r="D35" s="340">
        <v>9195</v>
      </c>
      <c r="E35" s="340">
        <v>14574</v>
      </c>
      <c r="F35" s="340">
        <v>0</v>
      </c>
      <c r="G35" s="340">
        <v>338738</v>
      </c>
      <c r="H35" s="239">
        <f t="shared" si="29"/>
        <v>338738</v>
      </c>
      <c r="I35" s="239">
        <f t="shared" si="30"/>
        <v>362507</v>
      </c>
      <c r="J35" s="239">
        <f t="shared" si="31"/>
        <v>23769</v>
      </c>
      <c r="K35" s="239">
        <v>0</v>
      </c>
      <c r="L35" s="368">
        <f t="shared" si="32"/>
        <v>0</v>
      </c>
      <c r="M35" s="239">
        <v>181285</v>
      </c>
      <c r="N35" s="368">
        <f t="shared" si="33"/>
        <v>50.008689487375413</v>
      </c>
      <c r="O35" s="239">
        <v>3416</v>
      </c>
      <c r="P35" s="368">
        <f t="shared" si="34"/>
        <v>0.94232663093402336</v>
      </c>
      <c r="Q35" s="239">
        <v>123</v>
      </c>
      <c r="R35" s="368">
        <f t="shared" si="35"/>
        <v>3.3930379275434679E-2</v>
      </c>
      <c r="S35" s="239">
        <v>74125</v>
      </c>
      <c r="T35" s="368">
        <f t="shared" si="36"/>
        <v>20.44788100643574</v>
      </c>
      <c r="U35" s="239">
        <v>0</v>
      </c>
      <c r="V35" s="368">
        <f t="shared" si="37"/>
        <v>0</v>
      </c>
      <c r="W35" s="239">
        <v>0</v>
      </c>
      <c r="X35" s="368">
        <f t="shared" si="38"/>
        <v>0</v>
      </c>
      <c r="Y35" s="239">
        <v>102120</v>
      </c>
      <c r="Z35" s="368">
        <f t="shared" si="39"/>
        <v>28.170490500873086</v>
      </c>
      <c r="AA35" s="239">
        <v>1438</v>
      </c>
      <c r="AB35" s="368">
        <f t="shared" si="40"/>
        <v>0.39668199510630137</v>
      </c>
      <c r="AC35" s="239">
        <v>0</v>
      </c>
      <c r="AD35" s="368">
        <f t="shared" si="41"/>
        <v>0</v>
      </c>
    </row>
    <row r="36" spans="1:32" s="10" customFormat="1" ht="14.15" customHeight="1">
      <c r="A36" s="912"/>
      <c r="B36" s="340">
        <v>25</v>
      </c>
      <c r="C36" s="340" t="s">
        <v>728</v>
      </c>
      <c r="D36" s="340">
        <v>8845</v>
      </c>
      <c r="E36" s="340">
        <v>4412</v>
      </c>
      <c r="F36" s="340">
        <v>1007</v>
      </c>
      <c r="G36" s="340">
        <v>190737</v>
      </c>
      <c r="H36" s="239">
        <f t="shared" si="29"/>
        <v>191744</v>
      </c>
      <c r="I36" s="239">
        <f t="shared" si="30"/>
        <v>205001</v>
      </c>
      <c r="J36" s="239">
        <f t="shared" si="31"/>
        <v>14264</v>
      </c>
      <c r="K36" s="239">
        <v>0</v>
      </c>
      <c r="L36" s="368">
        <f t="shared" si="32"/>
        <v>0</v>
      </c>
      <c r="M36" s="239">
        <v>155763</v>
      </c>
      <c r="N36" s="368">
        <f t="shared" si="33"/>
        <v>75.98158057765572</v>
      </c>
      <c r="O36" s="239">
        <v>829</v>
      </c>
      <c r="P36" s="368">
        <f t="shared" si="34"/>
        <v>0.40438827127672544</v>
      </c>
      <c r="Q36" s="239">
        <v>434</v>
      </c>
      <c r="R36" s="368">
        <f t="shared" si="35"/>
        <v>0.21170628435958849</v>
      </c>
      <c r="S36" s="239">
        <v>32305</v>
      </c>
      <c r="T36" s="368">
        <f t="shared" si="36"/>
        <v>15.758459714830659</v>
      </c>
      <c r="U36" s="239">
        <v>0</v>
      </c>
      <c r="V36" s="368">
        <f t="shared" si="37"/>
        <v>0</v>
      </c>
      <c r="W36" s="239">
        <v>0</v>
      </c>
      <c r="X36" s="368">
        <f t="shared" si="38"/>
        <v>0</v>
      </c>
      <c r="Y36" s="239">
        <v>15652</v>
      </c>
      <c r="Z36" s="368">
        <f t="shared" si="39"/>
        <v>7.6350847069038688</v>
      </c>
      <c r="AA36" s="239">
        <v>18</v>
      </c>
      <c r="AB36" s="368">
        <f t="shared" si="40"/>
        <v>8.780444973439154E-3</v>
      </c>
      <c r="AC36" s="239">
        <v>0</v>
      </c>
      <c r="AD36" s="368">
        <f t="shared" si="41"/>
        <v>0</v>
      </c>
    </row>
    <row r="37" spans="1:32" s="10" customFormat="1" ht="14.15" customHeight="1">
      <c r="A37" s="912"/>
      <c r="B37" s="340">
        <v>59</v>
      </c>
      <c r="C37" s="340" t="s">
        <v>730</v>
      </c>
      <c r="D37" s="340">
        <v>4885</v>
      </c>
      <c r="E37" s="340">
        <v>11658</v>
      </c>
      <c r="F37" s="340">
        <v>7212</v>
      </c>
      <c r="G37" s="340">
        <v>205866</v>
      </c>
      <c r="H37" s="239">
        <f t="shared" si="29"/>
        <v>213078</v>
      </c>
      <c r="I37" s="239">
        <f t="shared" si="30"/>
        <v>229621</v>
      </c>
      <c r="J37" s="239">
        <f t="shared" si="31"/>
        <v>23755</v>
      </c>
      <c r="K37" s="239">
        <v>27458</v>
      </c>
      <c r="L37" s="368">
        <f t="shared" si="32"/>
        <v>11.957965517091207</v>
      </c>
      <c r="M37" s="239">
        <v>19818</v>
      </c>
      <c r="N37" s="368">
        <f t="shared" si="33"/>
        <v>8.6307437037553179</v>
      </c>
      <c r="O37" s="239">
        <v>0</v>
      </c>
      <c r="P37" s="368">
        <f t="shared" si="34"/>
        <v>0</v>
      </c>
      <c r="Q37" s="239">
        <v>542</v>
      </c>
      <c r="R37" s="368">
        <f t="shared" si="35"/>
        <v>0.23604112864241511</v>
      </c>
      <c r="S37" s="239">
        <v>146900</v>
      </c>
      <c r="T37" s="368">
        <f t="shared" si="36"/>
        <v>63.974984866366761</v>
      </c>
      <c r="U37" s="239">
        <v>0</v>
      </c>
      <c r="V37" s="368">
        <f t="shared" si="37"/>
        <v>0</v>
      </c>
      <c r="W37" s="239">
        <v>0</v>
      </c>
      <c r="X37" s="368">
        <f t="shared" si="38"/>
        <v>0</v>
      </c>
      <c r="Y37" s="239">
        <v>34903</v>
      </c>
      <c r="Z37" s="368">
        <f t="shared" si="39"/>
        <v>15.200264784144307</v>
      </c>
      <c r="AA37" s="239">
        <v>0</v>
      </c>
      <c r="AB37" s="368">
        <f t="shared" si="40"/>
        <v>0</v>
      </c>
      <c r="AC37" s="239">
        <v>0</v>
      </c>
      <c r="AD37" s="368">
        <f t="shared" si="41"/>
        <v>0</v>
      </c>
    </row>
    <row r="38" spans="1:32" s="10" customFormat="1" ht="14.15" customHeight="1">
      <c r="A38" s="912"/>
      <c r="B38" s="340">
        <v>66</v>
      </c>
      <c r="C38" s="340" t="s">
        <v>732</v>
      </c>
      <c r="D38" s="340">
        <v>1205</v>
      </c>
      <c r="E38" s="340">
        <v>10641</v>
      </c>
      <c r="F38" s="340">
        <v>7988</v>
      </c>
      <c r="G38" s="340">
        <v>125827</v>
      </c>
      <c r="H38" s="239">
        <f t="shared" si="29"/>
        <v>133815</v>
      </c>
      <c r="I38" s="239">
        <f t="shared" si="30"/>
        <v>145661</v>
      </c>
      <c r="J38" s="239">
        <f t="shared" si="31"/>
        <v>19834</v>
      </c>
      <c r="K38" s="239">
        <v>0</v>
      </c>
      <c r="L38" s="368">
        <f t="shared" si="32"/>
        <v>0</v>
      </c>
      <c r="M38" s="239">
        <v>27929</v>
      </c>
      <c r="N38" s="368">
        <f t="shared" si="33"/>
        <v>19.17397244286391</v>
      </c>
      <c r="O38" s="239">
        <v>2653</v>
      </c>
      <c r="P38" s="368">
        <f t="shared" si="34"/>
        <v>1.8213523180535627</v>
      </c>
      <c r="Q38" s="239">
        <v>2664</v>
      </c>
      <c r="R38" s="368">
        <f t="shared" si="35"/>
        <v>1.8289040992441354</v>
      </c>
      <c r="S38" s="239">
        <v>21788</v>
      </c>
      <c r="T38" s="368">
        <f t="shared" si="36"/>
        <v>14.958018961836045</v>
      </c>
      <c r="U38" s="239">
        <v>77</v>
      </c>
      <c r="V38" s="368">
        <f t="shared" si="37"/>
        <v>5.2862468334008414E-2</v>
      </c>
      <c r="W38" s="239">
        <v>0</v>
      </c>
      <c r="X38" s="368">
        <f t="shared" si="38"/>
        <v>0</v>
      </c>
      <c r="Y38" s="239">
        <v>90391</v>
      </c>
      <c r="Z38" s="368">
        <f t="shared" si="39"/>
        <v>62.055732145186425</v>
      </c>
      <c r="AA38" s="239">
        <v>159</v>
      </c>
      <c r="AB38" s="368">
        <f t="shared" si="40"/>
        <v>0.10915756448191349</v>
      </c>
      <c r="AC38" s="239">
        <v>0</v>
      </c>
      <c r="AD38" s="368">
        <f t="shared" si="41"/>
        <v>0</v>
      </c>
    </row>
    <row r="39" spans="1:32" s="10" customFormat="1" ht="14.15" customHeight="1">
      <c r="A39" s="912"/>
      <c r="B39" s="340">
        <v>64</v>
      </c>
      <c r="C39" s="340" t="s">
        <v>734</v>
      </c>
      <c r="D39" s="340">
        <v>3800</v>
      </c>
      <c r="E39" s="340">
        <v>3175</v>
      </c>
      <c r="F39" s="340">
        <v>0</v>
      </c>
      <c r="G39" s="340">
        <v>106155</v>
      </c>
      <c r="H39" s="239">
        <f t="shared" si="29"/>
        <v>106155</v>
      </c>
      <c r="I39" s="239">
        <f t="shared" si="30"/>
        <v>113130</v>
      </c>
      <c r="J39" s="239">
        <f t="shared" si="31"/>
        <v>6975</v>
      </c>
      <c r="K39" s="239">
        <v>0</v>
      </c>
      <c r="L39" s="368">
        <f t="shared" si="32"/>
        <v>0</v>
      </c>
      <c r="M39" s="239">
        <v>26808</v>
      </c>
      <c r="N39" s="368">
        <f t="shared" si="33"/>
        <v>23.696632193052242</v>
      </c>
      <c r="O39" s="239">
        <v>678</v>
      </c>
      <c r="P39" s="368">
        <f t="shared" si="34"/>
        <v>0.59931052771148241</v>
      </c>
      <c r="Q39" s="239">
        <v>647</v>
      </c>
      <c r="R39" s="368">
        <f t="shared" si="35"/>
        <v>0.57190842393706354</v>
      </c>
      <c r="S39" s="239">
        <v>83385</v>
      </c>
      <c r="T39" s="368">
        <f t="shared" si="36"/>
        <v>73.707239459029438</v>
      </c>
      <c r="U39" s="239">
        <v>0</v>
      </c>
      <c r="V39" s="368">
        <f t="shared" si="37"/>
        <v>0</v>
      </c>
      <c r="W39" s="239">
        <v>0</v>
      </c>
      <c r="X39" s="368">
        <f t="shared" si="38"/>
        <v>0</v>
      </c>
      <c r="Y39" s="239">
        <v>1474</v>
      </c>
      <c r="Z39" s="368">
        <f t="shared" si="39"/>
        <v>1.3029258375320427</v>
      </c>
      <c r="AA39" s="239">
        <v>138</v>
      </c>
      <c r="AB39" s="368">
        <f t="shared" si="40"/>
        <v>0.12198355873773534</v>
      </c>
      <c r="AC39" s="239">
        <v>0</v>
      </c>
      <c r="AD39" s="368">
        <f t="shared" si="41"/>
        <v>0</v>
      </c>
    </row>
    <row r="40" spans="1:32" s="10" customFormat="1" ht="14.15" customHeight="1">
      <c r="A40" s="912"/>
      <c r="B40" s="340">
        <v>88</v>
      </c>
      <c r="C40" s="340" t="s">
        <v>735</v>
      </c>
      <c r="D40" s="340">
        <v>3043</v>
      </c>
      <c r="E40" s="340">
        <v>4907</v>
      </c>
      <c r="F40" s="340">
        <v>3172</v>
      </c>
      <c r="G40" s="340">
        <v>78762</v>
      </c>
      <c r="H40" s="239">
        <f t="shared" si="29"/>
        <v>81934</v>
      </c>
      <c r="I40" s="239">
        <f t="shared" si="30"/>
        <v>89884</v>
      </c>
      <c r="J40" s="239">
        <f t="shared" si="31"/>
        <v>11122</v>
      </c>
      <c r="K40" s="239">
        <v>0</v>
      </c>
      <c r="L40" s="368">
        <f t="shared" si="32"/>
        <v>0</v>
      </c>
      <c r="M40" s="239">
        <v>4817</v>
      </c>
      <c r="N40" s="368">
        <f t="shared" si="33"/>
        <v>5.3591295447465628</v>
      </c>
      <c r="O40" s="239">
        <v>0</v>
      </c>
      <c r="P40" s="368">
        <f t="shared" si="34"/>
        <v>0</v>
      </c>
      <c r="Q40" s="239">
        <v>0</v>
      </c>
      <c r="R40" s="368">
        <f t="shared" si="35"/>
        <v>0</v>
      </c>
      <c r="S40" s="239">
        <v>61855</v>
      </c>
      <c r="T40" s="368">
        <f t="shared" si="36"/>
        <v>68.81647456721997</v>
      </c>
      <c r="U40" s="239">
        <v>0</v>
      </c>
      <c r="V40" s="368">
        <f t="shared" si="37"/>
        <v>0</v>
      </c>
      <c r="W40" s="239">
        <v>0</v>
      </c>
      <c r="X40" s="368">
        <f t="shared" si="38"/>
        <v>0</v>
      </c>
      <c r="Y40" s="239">
        <v>23212</v>
      </c>
      <c r="Z40" s="368">
        <f t="shared" si="39"/>
        <v>25.824395888033465</v>
      </c>
      <c r="AA40" s="239">
        <v>0</v>
      </c>
      <c r="AB40" s="368">
        <f t="shared" si="40"/>
        <v>0</v>
      </c>
      <c r="AC40" s="239">
        <v>0</v>
      </c>
      <c r="AD40" s="368">
        <f t="shared" si="41"/>
        <v>0</v>
      </c>
    </row>
    <row r="41" spans="1:32" s="10" customFormat="1" ht="14.15" customHeight="1" thickBot="1">
      <c r="A41" s="912"/>
      <c r="B41" s="342">
        <v>52</v>
      </c>
      <c r="C41" s="342" t="s">
        <v>736</v>
      </c>
      <c r="D41" s="342">
        <v>2008</v>
      </c>
      <c r="E41" s="342">
        <v>3691</v>
      </c>
      <c r="F41" s="342">
        <v>0</v>
      </c>
      <c r="G41" s="342">
        <v>57683</v>
      </c>
      <c r="H41" s="247">
        <f t="shared" si="29"/>
        <v>57683</v>
      </c>
      <c r="I41" s="247">
        <f t="shared" si="30"/>
        <v>63382</v>
      </c>
      <c r="J41" s="247">
        <f t="shared" si="31"/>
        <v>5699</v>
      </c>
      <c r="K41" s="247">
        <v>0</v>
      </c>
      <c r="L41" s="369">
        <f t="shared" si="32"/>
        <v>0</v>
      </c>
      <c r="M41" s="247">
        <v>56998</v>
      </c>
      <c r="N41" s="369">
        <f t="shared" si="33"/>
        <v>89.9277397368338</v>
      </c>
      <c r="O41" s="247">
        <v>106</v>
      </c>
      <c r="P41" s="369">
        <f t="shared" si="34"/>
        <v>0.1672399103846518</v>
      </c>
      <c r="Q41" s="247">
        <v>0</v>
      </c>
      <c r="R41" s="369">
        <f t="shared" si="35"/>
        <v>0</v>
      </c>
      <c r="S41" s="247">
        <v>1685</v>
      </c>
      <c r="T41" s="369">
        <f t="shared" si="36"/>
        <v>2.6584834811145122</v>
      </c>
      <c r="U41" s="247">
        <v>0</v>
      </c>
      <c r="V41" s="369">
        <f t="shared" si="37"/>
        <v>0</v>
      </c>
      <c r="W41" s="247">
        <v>0</v>
      </c>
      <c r="X41" s="369">
        <f t="shared" si="38"/>
        <v>0</v>
      </c>
      <c r="Y41" s="247">
        <v>4593</v>
      </c>
      <c r="Z41" s="369">
        <f t="shared" si="39"/>
        <v>7.2465368716670353</v>
      </c>
      <c r="AA41" s="247">
        <v>0</v>
      </c>
      <c r="AB41" s="369">
        <f t="shared" si="40"/>
        <v>0</v>
      </c>
      <c r="AC41" s="247">
        <v>0</v>
      </c>
      <c r="AD41" s="369">
        <f t="shared" si="41"/>
        <v>0</v>
      </c>
    </row>
    <row r="42" spans="1:32" s="343" customFormat="1" ht="14.15" customHeight="1" thickTop="1">
      <c r="A42" s="912"/>
      <c r="B42" s="252"/>
      <c r="C42" s="253" t="s">
        <v>34</v>
      </c>
      <c r="D42" s="259">
        <f t="shared" ref="D42:AC42" si="42">+SUM(D34:D41)</f>
        <v>42435</v>
      </c>
      <c r="E42" s="259">
        <f t="shared" si="42"/>
        <v>110925</v>
      </c>
      <c r="F42" s="259">
        <f t="shared" si="42"/>
        <v>19379</v>
      </c>
      <c r="G42" s="259">
        <f t="shared" si="42"/>
        <v>1656326</v>
      </c>
      <c r="H42" s="259">
        <f t="shared" si="42"/>
        <v>1675705</v>
      </c>
      <c r="I42" s="259">
        <f t="shared" si="42"/>
        <v>1829065</v>
      </c>
      <c r="J42" s="259">
        <f t="shared" si="42"/>
        <v>172739</v>
      </c>
      <c r="K42" s="259">
        <f t="shared" si="42"/>
        <v>34586</v>
      </c>
      <c r="L42" s="370">
        <f t="shared" si="32"/>
        <v>1.8909114766287693</v>
      </c>
      <c r="M42" s="259">
        <f t="shared" si="42"/>
        <v>692594</v>
      </c>
      <c r="N42" s="370">
        <f t="shared" si="33"/>
        <v>37.866013509634705</v>
      </c>
      <c r="O42" s="259">
        <f t="shared" si="42"/>
        <v>14444</v>
      </c>
      <c r="P42" s="370">
        <f t="shared" si="34"/>
        <v>0.78969309455924197</v>
      </c>
      <c r="Q42" s="259">
        <f t="shared" si="42"/>
        <v>16943</v>
      </c>
      <c r="R42" s="370">
        <f t="shared" si="35"/>
        <v>0.92632027839360553</v>
      </c>
      <c r="S42" s="259">
        <f t="shared" si="42"/>
        <v>759510</v>
      </c>
      <c r="T42" s="370">
        <f t="shared" si="36"/>
        <v>41.524494755517161</v>
      </c>
      <c r="U42" s="259">
        <f t="shared" si="42"/>
        <v>1407</v>
      </c>
      <c r="V42" s="370">
        <f t="shared" si="37"/>
        <v>7.692454888153237E-2</v>
      </c>
      <c r="W42" s="259">
        <f t="shared" si="42"/>
        <v>0</v>
      </c>
      <c r="X42" s="370">
        <f t="shared" si="38"/>
        <v>0</v>
      </c>
      <c r="Y42" s="259">
        <f t="shared" si="42"/>
        <v>305947</v>
      </c>
      <c r="Z42" s="370">
        <f t="shared" si="39"/>
        <v>16.726961589664665</v>
      </c>
      <c r="AA42" s="259">
        <f t="shared" si="42"/>
        <v>2618</v>
      </c>
      <c r="AB42" s="370">
        <f t="shared" si="40"/>
        <v>0.14313324020742837</v>
      </c>
      <c r="AC42" s="259">
        <f t="shared" si="42"/>
        <v>1016</v>
      </c>
      <c r="AD42" s="370">
        <f t="shared" si="41"/>
        <v>5.554750651289047E-2</v>
      </c>
      <c r="AE42" s="10"/>
      <c r="AF42" s="10"/>
    </row>
    <row r="43" spans="1:32" s="343" customFormat="1" ht="14.15" customHeight="1">
      <c r="A43" s="912"/>
      <c r="B43" s="263"/>
      <c r="C43" s="264"/>
      <c r="D43" s="270"/>
      <c r="E43" s="270"/>
      <c r="F43" s="270"/>
      <c r="G43" s="270"/>
      <c r="H43" s="270"/>
      <c r="I43" s="270"/>
      <c r="J43" s="270"/>
      <c r="K43" s="270"/>
      <c r="L43" s="371"/>
      <c r="M43" s="270"/>
      <c r="N43" s="371"/>
      <c r="O43" s="270"/>
      <c r="P43" s="371"/>
      <c r="Q43" s="270"/>
      <c r="R43" s="371"/>
      <c r="S43" s="270"/>
      <c r="T43" s="371"/>
      <c r="U43" s="270"/>
      <c r="V43" s="371"/>
      <c r="W43" s="270"/>
      <c r="X43" s="371"/>
      <c r="Y43" s="270"/>
      <c r="Z43" s="371"/>
      <c r="AA43" s="270"/>
      <c r="AB43" s="371"/>
      <c r="AC43" s="270"/>
      <c r="AD43" s="371"/>
      <c r="AE43" s="10"/>
      <c r="AF43" s="10"/>
    </row>
    <row r="44" spans="1:32" s="10" customFormat="1" ht="14.15" customHeight="1">
      <c r="A44" s="912" t="s">
        <v>737</v>
      </c>
      <c r="B44" s="339">
        <v>70</v>
      </c>
      <c r="C44" s="339" t="s">
        <v>738</v>
      </c>
      <c r="D44" s="339">
        <v>30437</v>
      </c>
      <c r="E44" s="339">
        <v>177194</v>
      </c>
      <c r="F44" s="339">
        <v>0</v>
      </c>
      <c r="G44" s="339">
        <v>891766</v>
      </c>
      <c r="H44" s="231">
        <f>F44+G44</f>
        <v>891766</v>
      </c>
      <c r="I44" s="231">
        <f>D44+E44+H44</f>
        <v>1099397</v>
      </c>
      <c r="J44" s="231">
        <f>D44+E44+F44</f>
        <v>207631</v>
      </c>
      <c r="K44" s="231">
        <v>34172</v>
      </c>
      <c r="L44" s="367">
        <f>K44/$I44*100</f>
        <v>3.1082493403201936</v>
      </c>
      <c r="M44" s="231">
        <v>992189</v>
      </c>
      <c r="N44" s="367">
        <f>M44/$I44*100</f>
        <v>90.248472571782528</v>
      </c>
      <c r="O44" s="231">
        <v>25408</v>
      </c>
      <c r="P44" s="367">
        <f>O44/$I44*100</f>
        <v>2.3110850766374655</v>
      </c>
      <c r="Q44" s="231">
        <v>43</v>
      </c>
      <c r="R44" s="367">
        <f>Q44/$I44*100</f>
        <v>3.9112349769919331E-3</v>
      </c>
      <c r="S44" s="231">
        <v>33836</v>
      </c>
      <c r="T44" s="367">
        <f>S44/$I44*100</f>
        <v>3.0776871321278847</v>
      </c>
      <c r="U44" s="231">
        <v>40</v>
      </c>
      <c r="V44" s="367">
        <f>U44/$I44*100</f>
        <v>3.6383581181320306E-3</v>
      </c>
      <c r="W44" s="231">
        <v>0</v>
      </c>
      <c r="X44" s="367">
        <f>W44/$I44*100</f>
        <v>0</v>
      </c>
      <c r="Y44" s="231">
        <v>7761</v>
      </c>
      <c r="Z44" s="367">
        <f>Y44/$I44*100</f>
        <v>0.70593243387056726</v>
      </c>
      <c r="AA44" s="231">
        <v>4195</v>
      </c>
      <c r="AB44" s="367">
        <f>AA44/$I44*100</f>
        <v>0.38157280763909668</v>
      </c>
      <c r="AC44" s="231">
        <v>1753</v>
      </c>
      <c r="AD44" s="367">
        <f>AC44/$I44*100</f>
        <v>0.15945104452713624</v>
      </c>
    </row>
    <row r="45" spans="1:32" s="10" customFormat="1" ht="14.15" customHeight="1">
      <c r="A45" s="912"/>
      <c r="B45" s="340">
        <v>83</v>
      </c>
      <c r="C45" s="340" t="s">
        <v>739</v>
      </c>
      <c r="D45" s="340">
        <v>4811</v>
      </c>
      <c r="E45" s="340">
        <v>15968</v>
      </c>
      <c r="F45" s="340">
        <v>0</v>
      </c>
      <c r="G45" s="340">
        <v>183753</v>
      </c>
      <c r="H45" s="239">
        <f>F45+G45</f>
        <v>183753</v>
      </c>
      <c r="I45" s="239">
        <f>D45+E45+H45</f>
        <v>204532</v>
      </c>
      <c r="J45" s="239">
        <f>D45+E45+F45</f>
        <v>20779</v>
      </c>
      <c r="K45" s="239">
        <v>0</v>
      </c>
      <c r="L45" s="368">
        <f>K45/$I45*100</f>
        <v>0</v>
      </c>
      <c r="M45" s="239">
        <v>180448</v>
      </c>
      <c r="N45" s="368">
        <f>M45/$I45*100</f>
        <v>88.224825455185496</v>
      </c>
      <c r="O45" s="239">
        <v>6817</v>
      </c>
      <c r="P45" s="368">
        <f>O45/$I45*100</f>
        <v>3.3329747912307117</v>
      </c>
      <c r="Q45" s="239">
        <v>0</v>
      </c>
      <c r="R45" s="368">
        <f>Q45/$I45*100</f>
        <v>0</v>
      </c>
      <c r="S45" s="239">
        <v>3671</v>
      </c>
      <c r="T45" s="368">
        <f>S45/$I45*100</f>
        <v>1.7948291709854693</v>
      </c>
      <c r="U45" s="239">
        <v>0</v>
      </c>
      <c r="V45" s="368">
        <f>U45/$I45*100</f>
        <v>0</v>
      </c>
      <c r="W45" s="239">
        <v>0</v>
      </c>
      <c r="X45" s="368">
        <f>W45/$I45*100</f>
        <v>0</v>
      </c>
      <c r="Y45" s="239">
        <v>12848</v>
      </c>
      <c r="Z45" s="368">
        <f>Y45/$I45*100</f>
        <v>6.2816576379246287</v>
      </c>
      <c r="AA45" s="239">
        <v>748</v>
      </c>
      <c r="AB45" s="368">
        <f>AA45/$I45*100</f>
        <v>0.36571294467369408</v>
      </c>
      <c r="AC45" s="239">
        <v>0</v>
      </c>
      <c r="AD45" s="368">
        <f>AC45/$I45*100</f>
        <v>0</v>
      </c>
    </row>
    <row r="46" spans="1:32" s="10" customFormat="1" ht="14.15" customHeight="1">
      <c r="A46" s="912"/>
      <c r="B46" s="346">
        <v>76</v>
      </c>
      <c r="C46" s="346" t="s">
        <v>740</v>
      </c>
      <c r="D46" s="346">
        <v>5147</v>
      </c>
      <c r="E46" s="346">
        <v>4404</v>
      </c>
      <c r="F46" s="346">
        <v>0</v>
      </c>
      <c r="G46" s="346">
        <v>90910</v>
      </c>
      <c r="H46" s="239">
        <f t="shared" ref="H46:H48" si="43">F46+G46</f>
        <v>90910</v>
      </c>
      <c r="I46" s="239">
        <f t="shared" ref="I46:I48" si="44">D46+E46+H46</f>
        <v>100461</v>
      </c>
      <c r="J46" s="239">
        <f t="shared" ref="J46:J48" si="45">D46+E46+F46</f>
        <v>9551</v>
      </c>
      <c r="K46" s="281">
        <v>0</v>
      </c>
      <c r="L46" s="368">
        <f t="shared" ref="L46:L48" si="46">K46/$I46*100</f>
        <v>0</v>
      </c>
      <c r="M46" s="281">
        <v>67160</v>
      </c>
      <c r="N46" s="368">
        <f t="shared" ref="N46:N48" si="47">M46/$I46*100</f>
        <v>66.851813141418063</v>
      </c>
      <c r="O46" s="281">
        <v>166</v>
      </c>
      <c r="P46" s="368">
        <f t="shared" ref="P46:P48" si="48">O46/$I46*100</f>
        <v>0.1652382516598481</v>
      </c>
      <c r="Q46" s="281">
        <v>0</v>
      </c>
      <c r="R46" s="368">
        <f t="shared" ref="R46:R48" si="49">Q46/$I46*100</f>
        <v>0</v>
      </c>
      <c r="S46" s="281">
        <v>25338</v>
      </c>
      <c r="T46" s="368">
        <f t="shared" ref="T46:T48" si="50">S46/$I46*100</f>
        <v>25.221727834682117</v>
      </c>
      <c r="U46" s="281">
        <v>0</v>
      </c>
      <c r="V46" s="368">
        <f t="shared" ref="V46:V48" si="51">U46/$I46*100</f>
        <v>0</v>
      </c>
      <c r="W46" s="281">
        <v>0</v>
      </c>
      <c r="X46" s="368">
        <f t="shared" ref="X46:X48" si="52">W46/$I46*100</f>
        <v>0</v>
      </c>
      <c r="Y46" s="281">
        <v>7623</v>
      </c>
      <c r="Z46" s="368">
        <f t="shared" ref="Z46:Z48" si="53">Y46/$I46*100</f>
        <v>7.5880192313435071</v>
      </c>
      <c r="AA46" s="281">
        <v>174</v>
      </c>
      <c r="AB46" s="368">
        <f t="shared" ref="AB46:AB48" si="54">AA46/$I46*100</f>
        <v>0.17320154089646728</v>
      </c>
      <c r="AC46" s="281">
        <v>0</v>
      </c>
      <c r="AD46" s="368">
        <f t="shared" ref="AD46:AD48" si="55">AC46/$I46*100</f>
        <v>0</v>
      </c>
    </row>
    <row r="47" spans="1:32" s="10" customFormat="1" ht="14.15" customHeight="1">
      <c r="A47" s="912"/>
      <c r="B47" s="346">
        <v>93</v>
      </c>
      <c r="C47" s="346" t="s">
        <v>742</v>
      </c>
      <c r="D47" s="346">
        <v>12628</v>
      </c>
      <c r="E47" s="346">
        <v>16309</v>
      </c>
      <c r="F47" s="346">
        <v>0</v>
      </c>
      <c r="G47" s="346">
        <v>121811</v>
      </c>
      <c r="H47" s="239">
        <f t="shared" si="43"/>
        <v>121811</v>
      </c>
      <c r="I47" s="239">
        <f t="shared" si="44"/>
        <v>150748</v>
      </c>
      <c r="J47" s="239">
        <f t="shared" si="45"/>
        <v>28937</v>
      </c>
      <c r="K47" s="281">
        <v>0</v>
      </c>
      <c r="L47" s="368">
        <f t="shared" si="46"/>
        <v>0</v>
      </c>
      <c r="M47" s="281">
        <v>31703</v>
      </c>
      <c r="N47" s="368">
        <f t="shared" si="47"/>
        <v>21.030461432324145</v>
      </c>
      <c r="O47" s="281">
        <v>13039</v>
      </c>
      <c r="P47" s="368">
        <f t="shared" si="48"/>
        <v>8.6495343221800614</v>
      </c>
      <c r="Q47" s="281">
        <v>0</v>
      </c>
      <c r="R47" s="368">
        <f t="shared" si="49"/>
        <v>0</v>
      </c>
      <c r="S47" s="281">
        <v>90462</v>
      </c>
      <c r="T47" s="368">
        <f t="shared" si="50"/>
        <v>60.008756335075752</v>
      </c>
      <c r="U47" s="281">
        <v>0</v>
      </c>
      <c r="V47" s="368">
        <f t="shared" si="51"/>
        <v>0</v>
      </c>
      <c r="W47" s="281">
        <v>0</v>
      </c>
      <c r="X47" s="368">
        <f t="shared" si="52"/>
        <v>0</v>
      </c>
      <c r="Y47" s="281">
        <v>15398</v>
      </c>
      <c r="Z47" s="368">
        <f t="shared" si="53"/>
        <v>10.21439753761244</v>
      </c>
      <c r="AA47" s="281">
        <v>146</v>
      </c>
      <c r="AB47" s="368">
        <f t="shared" si="54"/>
        <v>9.6850372807599436E-2</v>
      </c>
      <c r="AC47" s="281">
        <v>0</v>
      </c>
      <c r="AD47" s="368">
        <f t="shared" si="55"/>
        <v>0</v>
      </c>
    </row>
    <row r="48" spans="1:32" s="10" customFormat="1" ht="14.15" customHeight="1">
      <c r="A48" s="912"/>
      <c r="B48" s="346">
        <v>94</v>
      </c>
      <c r="C48" s="346" t="s">
        <v>837</v>
      </c>
      <c r="D48" s="346">
        <v>6020</v>
      </c>
      <c r="E48" s="346">
        <v>26210</v>
      </c>
      <c r="F48" s="346">
        <v>864</v>
      </c>
      <c r="G48" s="346">
        <v>77412</v>
      </c>
      <c r="H48" s="239">
        <f t="shared" si="43"/>
        <v>78276</v>
      </c>
      <c r="I48" s="239">
        <f t="shared" si="44"/>
        <v>110506</v>
      </c>
      <c r="J48" s="239">
        <f t="shared" si="45"/>
        <v>33094</v>
      </c>
      <c r="K48" s="281">
        <v>0</v>
      </c>
      <c r="L48" s="368">
        <f t="shared" si="46"/>
        <v>0</v>
      </c>
      <c r="M48" s="281">
        <v>36120</v>
      </c>
      <c r="N48" s="368">
        <f t="shared" si="47"/>
        <v>32.686007999565639</v>
      </c>
      <c r="O48" s="281">
        <v>1177</v>
      </c>
      <c r="P48" s="368">
        <f t="shared" si="48"/>
        <v>1.0651005375273741</v>
      </c>
      <c r="Q48" s="281">
        <v>0</v>
      </c>
      <c r="R48" s="368">
        <f t="shared" si="49"/>
        <v>0</v>
      </c>
      <c r="S48" s="281">
        <v>65779</v>
      </c>
      <c r="T48" s="368">
        <f t="shared" si="50"/>
        <v>59.525274645720593</v>
      </c>
      <c r="U48" s="281">
        <v>0</v>
      </c>
      <c r="V48" s="368">
        <f t="shared" si="51"/>
        <v>0</v>
      </c>
      <c r="W48" s="281">
        <v>0</v>
      </c>
      <c r="X48" s="368">
        <f t="shared" si="52"/>
        <v>0</v>
      </c>
      <c r="Y48" s="281">
        <v>7430</v>
      </c>
      <c r="Z48" s="368">
        <f t="shared" si="53"/>
        <v>6.7236168171863966</v>
      </c>
      <c r="AA48" s="281">
        <v>0</v>
      </c>
      <c r="AB48" s="368">
        <f t="shared" si="54"/>
        <v>0</v>
      </c>
      <c r="AC48" s="281">
        <v>0</v>
      </c>
      <c r="AD48" s="368">
        <f t="shared" si="55"/>
        <v>0</v>
      </c>
    </row>
    <row r="49" spans="1:32" s="10" customFormat="1" ht="14.15" customHeight="1" thickBot="1">
      <c r="A49" s="912"/>
      <c r="B49" s="342">
        <v>91</v>
      </c>
      <c r="C49" s="342" t="s">
        <v>801</v>
      </c>
      <c r="D49" s="342">
        <v>9608</v>
      </c>
      <c r="E49" s="342">
        <v>19539</v>
      </c>
      <c r="F49" s="342">
        <v>96197</v>
      </c>
      <c r="G49" s="342">
        <v>0</v>
      </c>
      <c r="H49" s="247">
        <f>F49+G49</f>
        <v>96197</v>
      </c>
      <c r="I49" s="247">
        <f>D49+E49+H49</f>
        <v>125344</v>
      </c>
      <c r="J49" s="247">
        <f>D49+E49+F49</f>
        <v>125344</v>
      </c>
      <c r="K49" s="247">
        <v>0</v>
      </c>
      <c r="L49" s="369">
        <f>K49/$I49*100</f>
        <v>0</v>
      </c>
      <c r="M49" s="247">
        <v>10796</v>
      </c>
      <c r="N49" s="369">
        <f>M49/$I49*100</f>
        <v>8.6130967577227473</v>
      </c>
      <c r="O49" s="247">
        <v>8992</v>
      </c>
      <c r="P49" s="369">
        <f>O49/$I49*100</f>
        <v>7.1738575440388059</v>
      </c>
      <c r="Q49" s="247">
        <v>0</v>
      </c>
      <c r="R49" s="369">
        <f>Q49/$I49*100</f>
        <v>0</v>
      </c>
      <c r="S49" s="247">
        <v>78690</v>
      </c>
      <c r="T49" s="369">
        <f>S49/$I49*100</f>
        <v>62.779231554761296</v>
      </c>
      <c r="U49" s="247">
        <v>0</v>
      </c>
      <c r="V49" s="369">
        <f>U49/$I49*100</f>
        <v>0</v>
      </c>
      <c r="W49" s="247">
        <v>0</v>
      </c>
      <c r="X49" s="369">
        <f>W49/$I49*100</f>
        <v>0</v>
      </c>
      <c r="Y49" s="247">
        <v>26866</v>
      </c>
      <c r="Z49" s="369">
        <f>Y49/$I49*100</f>
        <v>21.43381414347715</v>
      </c>
      <c r="AA49" s="247">
        <v>0</v>
      </c>
      <c r="AB49" s="369">
        <f>AA49/$I49*100</f>
        <v>0</v>
      </c>
      <c r="AC49" s="247">
        <v>0</v>
      </c>
      <c r="AD49" s="369">
        <f>AC49/$I49*100</f>
        <v>0</v>
      </c>
    </row>
    <row r="50" spans="1:32" s="343" customFormat="1" ht="14.15" customHeight="1" thickTop="1">
      <c r="A50" s="912"/>
      <c r="B50" s="252"/>
      <c r="C50" s="253" t="s">
        <v>34</v>
      </c>
      <c r="D50" s="259">
        <f t="shared" ref="D50:AC50" si="56">+SUM(D44:D49)</f>
        <v>68651</v>
      </c>
      <c r="E50" s="259">
        <f t="shared" si="56"/>
        <v>259624</v>
      </c>
      <c r="F50" s="259">
        <f t="shared" si="56"/>
        <v>97061</v>
      </c>
      <c r="G50" s="259">
        <f t="shared" si="56"/>
        <v>1365652</v>
      </c>
      <c r="H50" s="259">
        <f t="shared" si="56"/>
        <v>1462713</v>
      </c>
      <c r="I50" s="259">
        <f t="shared" si="56"/>
        <v>1790988</v>
      </c>
      <c r="J50" s="259">
        <f t="shared" si="56"/>
        <v>425336</v>
      </c>
      <c r="K50" s="259">
        <f t="shared" si="56"/>
        <v>34172</v>
      </c>
      <c r="L50" s="370">
        <f>K50/$I50*100</f>
        <v>1.9079971501763271</v>
      </c>
      <c r="M50" s="259">
        <f t="shared" si="56"/>
        <v>1318416</v>
      </c>
      <c r="N50" s="370">
        <f>M50/$I50*100</f>
        <v>73.613893560425865</v>
      </c>
      <c r="O50" s="259">
        <f t="shared" si="56"/>
        <v>55599</v>
      </c>
      <c r="P50" s="370">
        <f>O50/$I50*100</f>
        <v>3.1043759087163063</v>
      </c>
      <c r="Q50" s="259">
        <f t="shared" si="56"/>
        <v>43</v>
      </c>
      <c r="R50" s="370">
        <f>Q50/$I50*100</f>
        <v>2.4009094421626499E-3</v>
      </c>
      <c r="S50" s="259">
        <f t="shared" si="56"/>
        <v>297776</v>
      </c>
      <c r="T50" s="370">
        <f>S50/$I50*100</f>
        <v>16.626353722079656</v>
      </c>
      <c r="U50" s="259">
        <f t="shared" si="56"/>
        <v>40</v>
      </c>
      <c r="V50" s="370">
        <f>U50/$I50*100</f>
        <v>2.2334041322443258E-3</v>
      </c>
      <c r="W50" s="259">
        <f t="shared" si="56"/>
        <v>0</v>
      </c>
      <c r="X50" s="370">
        <f>W50/$I50*100</f>
        <v>0</v>
      </c>
      <c r="Y50" s="259">
        <f t="shared" si="56"/>
        <v>77926</v>
      </c>
      <c r="Z50" s="370">
        <f>Y50/$I50*100</f>
        <v>4.3510062602317827</v>
      </c>
      <c r="AA50" s="259">
        <f t="shared" si="56"/>
        <v>5263</v>
      </c>
      <c r="AB50" s="370">
        <f>AA50/$I50*100</f>
        <v>0.29386014870004712</v>
      </c>
      <c r="AC50" s="259">
        <f t="shared" si="56"/>
        <v>1753</v>
      </c>
      <c r="AD50" s="370">
        <f>AC50/$I50*100</f>
        <v>9.7878936095607563E-2</v>
      </c>
      <c r="AE50" s="10"/>
      <c r="AF50" s="10"/>
    </row>
    <row r="51" spans="1:32" s="343" customFormat="1" ht="14.15" customHeight="1">
      <c r="A51" s="912"/>
      <c r="B51" s="263"/>
      <c r="C51" s="264"/>
      <c r="D51" s="270"/>
      <c r="E51" s="270"/>
      <c r="F51" s="270"/>
      <c r="G51" s="270"/>
      <c r="H51" s="270"/>
      <c r="I51" s="270"/>
      <c r="J51" s="270"/>
      <c r="K51" s="270"/>
      <c r="L51" s="371"/>
      <c r="M51" s="270"/>
      <c r="N51" s="371"/>
      <c r="O51" s="270"/>
      <c r="P51" s="371"/>
      <c r="Q51" s="270"/>
      <c r="R51" s="371"/>
      <c r="S51" s="270"/>
      <c r="T51" s="371"/>
      <c r="U51" s="270"/>
      <c r="V51" s="371"/>
      <c r="W51" s="270"/>
      <c r="X51" s="371"/>
      <c r="Y51" s="270"/>
      <c r="Z51" s="371"/>
      <c r="AA51" s="270"/>
      <c r="AB51" s="371"/>
      <c r="AC51" s="270"/>
      <c r="AD51" s="371"/>
      <c r="AE51" s="10"/>
      <c r="AF51" s="10"/>
    </row>
    <row r="52" spans="1:32" s="10" customFormat="1" ht="14.15" customHeight="1" thickBot="1">
      <c r="A52" s="912" t="s">
        <v>745</v>
      </c>
      <c r="B52" s="347">
        <v>20</v>
      </c>
      <c r="C52" s="347" t="s">
        <v>746</v>
      </c>
      <c r="D52" s="347">
        <v>1994</v>
      </c>
      <c r="E52" s="347">
        <v>6043</v>
      </c>
      <c r="F52" s="347">
        <v>0</v>
      </c>
      <c r="G52" s="347">
        <v>84914</v>
      </c>
      <c r="H52" s="287">
        <f>F52+G52</f>
        <v>84914</v>
      </c>
      <c r="I52" s="287">
        <f>D52+E52+H52</f>
        <v>92951</v>
      </c>
      <c r="J52" s="287">
        <f>D52+E52+F52</f>
        <v>8037</v>
      </c>
      <c r="K52" s="287">
        <v>162</v>
      </c>
      <c r="L52" s="373">
        <f>K52/$I52*100</f>
        <v>0.17428537616593689</v>
      </c>
      <c r="M52" s="287">
        <v>46857</v>
      </c>
      <c r="N52" s="373">
        <f>M52/$I52*100</f>
        <v>50.410431302514226</v>
      </c>
      <c r="O52" s="287">
        <v>2471</v>
      </c>
      <c r="P52" s="373">
        <f>O52/$I52*100</f>
        <v>2.6583899043582102</v>
      </c>
      <c r="Q52" s="287">
        <v>1016</v>
      </c>
      <c r="R52" s="373">
        <f>Q52/$I52*100</f>
        <v>1.0930490258308141</v>
      </c>
      <c r="S52" s="287">
        <v>31192</v>
      </c>
      <c r="T52" s="373">
        <f>S52/$I52*100</f>
        <v>33.557465761530267</v>
      </c>
      <c r="U52" s="287">
        <v>466</v>
      </c>
      <c r="V52" s="373">
        <f>U52/$I52*100</f>
        <v>0.50133941539090487</v>
      </c>
      <c r="W52" s="287">
        <v>0</v>
      </c>
      <c r="X52" s="373">
        <f>W52/$I52*100</f>
        <v>0</v>
      </c>
      <c r="Y52" s="287">
        <v>9388</v>
      </c>
      <c r="Z52" s="373">
        <f>Y52/$I52*100</f>
        <v>10.099945132381578</v>
      </c>
      <c r="AA52" s="287">
        <v>917</v>
      </c>
      <c r="AB52" s="373">
        <f>AA52/$I52*100</f>
        <v>0.98654129595163043</v>
      </c>
      <c r="AC52" s="287">
        <v>482</v>
      </c>
      <c r="AD52" s="373">
        <f>AC52/$I52*100</f>
        <v>0.5185527858764295</v>
      </c>
    </row>
    <row r="53" spans="1:32" s="343" customFormat="1" ht="14.15" customHeight="1" thickTop="1">
      <c r="A53" s="912"/>
      <c r="B53" s="252"/>
      <c r="C53" s="253" t="s">
        <v>34</v>
      </c>
      <c r="D53" s="259">
        <f t="shared" ref="D53:AC53" si="57">+SUM(D52:D52)</f>
        <v>1994</v>
      </c>
      <c r="E53" s="259">
        <f t="shared" si="57"/>
        <v>6043</v>
      </c>
      <c r="F53" s="259">
        <f t="shared" si="57"/>
        <v>0</v>
      </c>
      <c r="G53" s="259">
        <f t="shared" si="57"/>
        <v>84914</v>
      </c>
      <c r="H53" s="259">
        <f t="shared" si="57"/>
        <v>84914</v>
      </c>
      <c r="I53" s="259">
        <f t="shared" si="57"/>
        <v>92951</v>
      </c>
      <c r="J53" s="259">
        <f t="shared" si="57"/>
        <v>8037</v>
      </c>
      <c r="K53" s="259">
        <f t="shared" si="57"/>
        <v>162</v>
      </c>
      <c r="L53" s="370">
        <f>K53/$I53*100</f>
        <v>0.17428537616593689</v>
      </c>
      <c r="M53" s="259">
        <f t="shared" si="57"/>
        <v>46857</v>
      </c>
      <c r="N53" s="370">
        <f>M53/$I53*100</f>
        <v>50.410431302514226</v>
      </c>
      <c r="O53" s="259">
        <f t="shared" si="57"/>
        <v>2471</v>
      </c>
      <c r="P53" s="370">
        <f>O53/$I53*100</f>
        <v>2.6583899043582102</v>
      </c>
      <c r="Q53" s="259">
        <f t="shared" si="57"/>
        <v>1016</v>
      </c>
      <c r="R53" s="370">
        <f>Q53/$I53*100</f>
        <v>1.0930490258308141</v>
      </c>
      <c r="S53" s="259">
        <f t="shared" si="57"/>
        <v>31192</v>
      </c>
      <c r="T53" s="370">
        <f>S53/$I53*100</f>
        <v>33.557465761530267</v>
      </c>
      <c r="U53" s="259">
        <f t="shared" si="57"/>
        <v>466</v>
      </c>
      <c r="V53" s="370">
        <f>U53/$I53*100</f>
        <v>0.50133941539090487</v>
      </c>
      <c r="W53" s="259">
        <f t="shared" si="57"/>
        <v>0</v>
      </c>
      <c r="X53" s="370">
        <f>W53/$I53*100</f>
        <v>0</v>
      </c>
      <c r="Y53" s="259">
        <f t="shared" si="57"/>
        <v>9388</v>
      </c>
      <c r="Z53" s="370">
        <f>Y53/$I53*100</f>
        <v>10.099945132381578</v>
      </c>
      <c r="AA53" s="259">
        <f t="shared" si="57"/>
        <v>917</v>
      </c>
      <c r="AB53" s="370">
        <f>AA53/$I53*100</f>
        <v>0.98654129595163043</v>
      </c>
      <c r="AC53" s="259">
        <f t="shared" si="57"/>
        <v>482</v>
      </c>
      <c r="AD53" s="370">
        <f>AC53/$I53*100</f>
        <v>0.5185527858764295</v>
      </c>
      <c r="AE53" s="10"/>
      <c r="AF53" s="10"/>
    </row>
    <row r="54" spans="1:32" s="343" customFormat="1" ht="14.15" customHeight="1">
      <c r="A54" s="912"/>
      <c r="B54" s="263"/>
      <c r="C54" s="264"/>
      <c r="D54" s="270"/>
      <c r="E54" s="270"/>
      <c r="F54" s="270"/>
      <c r="G54" s="270"/>
      <c r="H54" s="270"/>
      <c r="I54" s="270"/>
      <c r="J54" s="270"/>
      <c r="K54" s="270"/>
      <c r="L54" s="371"/>
      <c r="M54" s="270"/>
      <c r="N54" s="371"/>
      <c r="O54" s="270"/>
      <c r="P54" s="371"/>
      <c r="Q54" s="270"/>
      <c r="R54" s="371"/>
      <c r="S54" s="270"/>
      <c r="T54" s="371"/>
      <c r="U54" s="270"/>
      <c r="V54" s="371"/>
      <c r="W54" s="270"/>
      <c r="X54" s="371"/>
      <c r="Y54" s="270"/>
      <c r="Z54" s="371"/>
      <c r="AA54" s="270"/>
      <c r="AB54" s="371"/>
      <c r="AC54" s="270"/>
      <c r="AD54" s="371"/>
      <c r="AE54" s="10"/>
      <c r="AF54" s="10"/>
    </row>
    <row r="55" spans="1:32" s="10" customFormat="1" ht="14.15" customHeight="1">
      <c r="A55" s="912" t="s">
        <v>516</v>
      </c>
      <c r="B55" s="339">
        <v>4</v>
      </c>
      <c r="C55" s="339" t="s">
        <v>747</v>
      </c>
      <c r="D55" s="339">
        <v>0</v>
      </c>
      <c r="E55" s="339">
        <v>15397</v>
      </c>
      <c r="F55" s="339">
        <v>64079</v>
      </c>
      <c r="G55" s="339">
        <v>1265373</v>
      </c>
      <c r="H55" s="231">
        <f t="shared" ref="H55:H61" si="58">F55+G55</f>
        <v>1329452</v>
      </c>
      <c r="I55" s="231">
        <f t="shared" ref="I55:I61" si="59">D55+E55+H55</f>
        <v>1344849</v>
      </c>
      <c r="J55" s="231">
        <f t="shared" ref="J55:J61" si="60">D55+E55+F55</f>
        <v>79476</v>
      </c>
      <c r="K55" s="231">
        <v>13503</v>
      </c>
      <c r="L55" s="367">
        <f t="shared" ref="L55:L62" si="61">K55/$I55*100</f>
        <v>1.0040532431522051</v>
      </c>
      <c r="M55" s="231">
        <v>1013307</v>
      </c>
      <c r="N55" s="367">
        <f t="shared" ref="N55:N62" si="62">M55/$I55*100</f>
        <v>75.347269470401514</v>
      </c>
      <c r="O55" s="231">
        <v>16248</v>
      </c>
      <c r="P55" s="367">
        <f t="shared" ref="P55:P62" si="63">O55/$I55*100</f>
        <v>1.2081653776743708</v>
      </c>
      <c r="Q55" s="231">
        <v>776</v>
      </c>
      <c r="R55" s="367">
        <f t="shared" ref="R55:R62" si="64">Q55/$I55*100</f>
        <v>5.7701645314827167E-2</v>
      </c>
      <c r="S55" s="231">
        <v>169820</v>
      </c>
      <c r="T55" s="367">
        <f t="shared" ref="T55:T62" si="65">S55/$I55*100</f>
        <v>12.627439957943235</v>
      </c>
      <c r="U55" s="231">
        <v>0</v>
      </c>
      <c r="V55" s="367">
        <f t="shared" ref="V55:V62" si="66">U55/$I55*100</f>
        <v>0</v>
      </c>
      <c r="W55" s="231">
        <v>0</v>
      </c>
      <c r="X55" s="367">
        <f t="shared" ref="X55:X62" si="67">W55/$I55*100</f>
        <v>0</v>
      </c>
      <c r="Y55" s="231">
        <v>127439</v>
      </c>
      <c r="Z55" s="367">
        <f t="shared" ref="Z55:Z62" si="68">Y55/$I55*100</f>
        <v>9.4760824449436321</v>
      </c>
      <c r="AA55" s="231">
        <v>2993</v>
      </c>
      <c r="AB55" s="367">
        <f t="shared" ref="AB55:AB62" si="69">AA55/$I55*100</f>
        <v>0.22255286652999706</v>
      </c>
      <c r="AC55" s="231">
        <v>763</v>
      </c>
      <c r="AD55" s="367">
        <f t="shared" ref="AD55:AD62" si="70">AC55/$I55*100</f>
        <v>5.67349940402231E-2</v>
      </c>
    </row>
    <row r="56" spans="1:32" s="10" customFormat="1" ht="14.15" customHeight="1">
      <c r="A56" s="912"/>
      <c r="B56" s="340">
        <v>19</v>
      </c>
      <c r="C56" s="340" t="s">
        <v>861</v>
      </c>
      <c r="D56" s="340">
        <v>11346</v>
      </c>
      <c r="E56" s="340">
        <v>3209</v>
      </c>
      <c r="F56" s="340">
        <v>0</v>
      </c>
      <c r="G56" s="340">
        <v>118259</v>
      </c>
      <c r="H56" s="239">
        <f t="shared" si="58"/>
        <v>118259</v>
      </c>
      <c r="I56" s="239">
        <f t="shared" si="59"/>
        <v>132814</v>
      </c>
      <c r="J56" s="239">
        <f t="shared" si="60"/>
        <v>14555</v>
      </c>
      <c r="K56" s="239">
        <v>0</v>
      </c>
      <c r="L56" s="368">
        <f t="shared" si="61"/>
        <v>0</v>
      </c>
      <c r="M56" s="239">
        <v>53130</v>
      </c>
      <c r="N56" s="368">
        <f t="shared" si="62"/>
        <v>40.003312903760147</v>
      </c>
      <c r="O56" s="239">
        <v>5686</v>
      </c>
      <c r="P56" s="368">
        <f t="shared" si="63"/>
        <v>4.2811751773156441</v>
      </c>
      <c r="Q56" s="239">
        <v>3122</v>
      </c>
      <c r="R56" s="368">
        <f t="shared" si="64"/>
        <v>2.3506558043579746</v>
      </c>
      <c r="S56" s="239">
        <v>55920</v>
      </c>
      <c r="T56" s="368">
        <f t="shared" si="65"/>
        <v>42.103995060761669</v>
      </c>
      <c r="U56" s="239">
        <v>0</v>
      </c>
      <c r="V56" s="368">
        <f t="shared" si="66"/>
        <v>0</v>
      </c>
      <c r="W56" s="239">
        <v>0</v>
      </c>
      <c r="X56" s="368">
        <f t="shared" si="67"/>
        <v>0</v>
      </c>
      <c r="Y56" s="239">
        <v>13381</v>
      </c>
      <c r="Z56" s="368">
        <f t="shared" si="68"/>
        <v>10.074992094206936</v>
      </c>
      <c r="AA56" s="239">
        <v>10</v>
      </c>
      <c r="AB56" s="368">
        <f t="shared" si="69"/>
        <v>7.5293267276040181E-3</v>
      </c>
      <c r="AC56" s="239">
        <v>1565</v>
      </c>
      <c r="AD56" s="368">
        <f t="shared" si="70"/>
        <v>1.1783396328700286</v>
      </c>
    </row>
    <row r="57" spans="1:32" s="10" customFormat="1" ht="14.15" customHeight="1">
      <c r="A57" s="912"/>
      <c r="B57" s="340">
        <v>41</v>
      </c>
      <c r="C57" s="340" t="s">
        <v>862</v>
      </c>
      <c r="D57" s="340">
        <v>18650</v>
      </c>
      <c r="E57" s="340">
        <v>25164</v>
      </c>
      <c r="F57" s="340">
        <v>0</v>
      </c>
      <c r="G57" s="340">
        <v>185085</v>
      </c>
      <c r="H57" s="239">
        <f>F57+G57</f>
        <v>185085</v>
      </c>
      <c r="I57" s="239">
        <f>D57+E57+H57</f>
        <v>228899</v>
      </c>
      <c r="J57" s="239">
        <f>D57+E57+F57</f>
        <v>43814</v>
      </c>
      <c r="K57" s="239">
        <v>0</v>
      </c>
      <c r="L57" s="368">
        <f>K57/$I57*100</f>
        <v>0</v>
      </c>
      <c r="M57" s="239">
        <v>136753</v>
      </c>
      <c r="N57" s="368">
        <f>M57/$I57*100</f>
        <v>59.743817142058283</v>
      </c>
      <c r="O57" s="239">
        <v>829</v>
      </c>
      <c r="P57" s="368">
        <f>O57/$I57*100</f>
        <v>0.3621684673152788</v>
      </c>
      <c r="Q57" s="239">
        <v>113</v>
      </c>
      <c r="R57" s="368">
        <f>Q57/$I57*100</f>
        <v>4.9366751274579616E-2</v>
      </c>
      <c r="S57" s="239">
        <v>32980</v>
      </c>
      <c r="T57" s="368">
        <f>S57/$I57*100</f>
        <v>14.408101389695894</v>
      </c>
      <c r="U57" s="239">
        <v>0</v>
      </c>
      <c r="V57" s="368">
        <f>U57/$I57*100</f>
        <v>0</v>
      </c>
      <c r="W57" s="239">
        <v>0</v>
      </c>
      <c r="X57" s="368">
        <f>W57/$I57*100</f>
        <v>0</v>
      </c>
      <c r="Y57" s="239">
        <v>54925</v>
      </c>
      <c r="Z57" s="368">
        <f>Y57/$I57*100</f>
        <v>23.995299236781285</v>
      </c>
      <c r="AA57" s="239">
        <v>531</v>
      </c>
      <c r="AB57" s="368">
        <f>AA57/$I57*100</f>
        <v>0.23198004360001573</v>
      </c>
      <c r="AC57" s="239">
        <v>2768</v>
      </c>
      <c r="AD57" s="368">
        <f>AC57/$I57*100</f>
        <v>1.2092669692746583</v>
      </c>
    </row>
    <row r="58" spans="1:32" s="10" customFormat="1" ht="14.15" customHeight="1">
      <c r="A58" s="912"/>
      <c r="B58" s="340">
        <v>47</v>
      </c>
      <c r="C58" s="340" t="s">
        <v>863</v>
      </c>
      <c r="D58" s="340">
        <v>6200</v>
      </c>
      <c r="E58" s="340">
        <v>17629</v>
      </c>
      <c r="F58" s="340">
        <v>0</v>
      </c>
      <c r="G58" s="340">
        <v>87114</v>
      </c>
      <c r="H58" s="239">
        <f>F58+G58</f>
        <v>87114</v>
      </c>
      <c r="I58" s="239">
        <f>D58+E58+H58</f>
        <v>110943</v>
      </c>
      <c r="J58" s="239">
        <f>D58+E58+F58</f>
        <v>23829</v>
      </c>
      <c r="K58" s="239">
        <v>0</v>
      </c>
      <c r="L58" s="368">
        <f>K58/$I58*100</f>
        <v>0</v>
      </c>
      <c r="M58" s="239">
        <v>54628</v>
      </c>
      <c r="N58" s="368">
        <f>M58/$I58*100</f>
        <v>49.239699665594046</v>
      </c>
      <c r="O58" s="239">
        <v>5892</v>
      </c>
      <c r="P58" s="368">
        <f>O58/$I58*100</f>
        <v>5.3108352937995189</v>
      </c>
      <c r="Q58" s="239">
        <v>244</v>
      </c>
      <c r="R58" s="368">
        <f>Q58/$I58*100</f>
        <v>0.21993275826325231</v>
      </c>
      <c r="S58" s="239">
        <v>22150</v>
      </c>
      <c r="T58" s="368">
        <f>S58/$I58*100</f>
        <v>19.965207358733764</v>
      </c>
      <c r="U58" s="239">
        <v>0</v>
      </c>
      <c r="V58" s="368">
        <f>U58/$I58*100</f>
        <v>0</v>
      </c>
      <c r="W58" s="239">
        <v>0</v>
      </c>
      <c r="X58" s="368">
        <f>W58/$I58*100</f>
        <v>0</v>
      </c>
      <c r="Y58" s="239">
        <v>24083</v>
      </c>
      <c r="Z58" s="368">
        <f>Y58/$I58*100</f>
        <v>21.707543513335679</v>
      </c>
      <c r="AA58" s="239">
        <v>734</v>
      </c>
      <c r="AB58" s="368">
        <f>AA58/$I58*100</f>
        <v>0.66160100231650487</v>
      </c>
      <c r="AC58" s="239">
        <v>3212</v>
      </c>
      <c r="AD58" s="368">
        <f>AC58/$I58*100</f>
        <v>2.895180407957239</v>
      </c>
    </row>
    <row r="59" spans="1:32" s="10" customFormat="1" ht="14.15" customHeight="1">
      <c r="A59" s="912"/>
      <c r="B59" s="340">
        <v>46</v>
      </c>
      <c r="C59" s="340" t="s">
        <v>752</v>
      </c>
      <c r="D59" s="340">
        <v>21969</v>
      </c>
      <c r="E59" s="340">
        <v>51800</v>
      </c>
      <c r="F59" s="340">
        <v>45383</v>
      </c>
      <c r="G59" s="340">
        <v>517346</v>
      </c>
      <c r="H59" s="239">
        <f t="shared" si="58"/>
        <v>562729</v>
      </c>
      <c r="I59" s="239">
        <f t="shared" si="59"/>
        <v>636498</v>
      </c>
      <c r="J59" s="239">
        <f t="shared" si="60"/>
        <v>119152</v>
      </c>
      <c r="K59" s="239">
        <v>4653</v>
      </c>
      <c r="L59" s="368">
        <f t="shared" si="61"/>
        <v>0.73103136223523091</v>
      </c>
      <c r="M59" s="239">
        <v>392747</v>
      </c>
      <c r="N59" s="368">
        <f t="shared" si="62"/>
        <v>61.704357279991449</v>
      </c>
      <c r="O59" s="239">
        <v>24047</v>
      </c>
      <c r="P59" s="368">
        <f t="shared" si="63"/>
        <v>3.7780165844983018</v>
      </c>
      <c r="Q59" s="239">
        <v>0</v>
      </c>
      <c r="R59" s="368">
        <f t="shared" si="64"/>
        <v>0</v>
      </c>
      <c r="S59" s="239">
        <v>129644</v>
      </c>
      <c r="T59" s="368">
        <f t="shared" si="65"/>
        <v>20.368327944471154</v>
      </c>
      <c r="U59" s="239">
        <v>0</v>
      </c>
      <c r="V59" s="368">
        <f t="shared" si="66"/>
        <v>0</v>
      </c>
      <c r="W59" s="239">
        <v>0</v>
      </c>
      <c r="X59" s="368">
        <f t="shared" si="67"/>
        <v>0</v>
      </c>
      <c r="Y59" s="239">
        <v>80586</v>
      </c>
      <c r="Z59" s="368">
        <f t="shared" si="68"/>
        <v>12.660841039563362</v>
      </c>
      <c r="AA59" s="239">
        <v>4249</v>
      </c>
      <c r="AB59" s="368">
        <f t="shared" si="69"/>
        <v>0.66755904967494006</v>
      </c>
      <c r="AC59" s="239">
        <v>572</v>
      </c>
      <c r="AD59" s="368">
        <f t="shared" si="70"/>
        <v>8.9866739565560308E-2</v>
      </c>
    </row>
    <row r="60" spans="1:32" s="10" customFormat="1" ht="14.15" customHeight="1">
      <c r="A60" s="912"/>
      <c r="B60" s="346">
        <v>89</v>
      </c>
      <c r="C60" s="346" t="s">
        <v>806</v>
      </c>
      <c r="D60" s="346">
        <v>12012</v>
      </c>
      <c r="E60" s="346">
        <v>76019</v>
      </c>
      <c r="F60" s="346">
        <v>0</v>
      </c>
      <c r="G60" s="346">
        <v>1128549</v>
      </c>
      <c r="H60" s="239">
        <f t="shared" si="58"/>
        <v>1128549</v>
      </c>
      <c r="I60" s="239">
        <f t="shared" si="59"/>
        <v>1216580</v>
      </c>
      <c r="J60" s="239">
        <f t="shared" si="60"/>
        <v>88031</v>
      </c>
      <c r="K60" s="281">
        <v>0</v>
      </c>
      <c r="L60" s="374">
        <f t="shared" si="61"/>
        <v>0</v>
      </c>
      <c r="M60" s="281">
        <v>559777</v>
      </c>
      <c r="N60" s="374">
        <f t="shared" si="62"/>
        <v>46.012346084926598</v>
      </c>
      <c r="O60" s="281">
        <v>22539</v>
      </c>
      <c r="P60" s="374">
        <f t="shared" si="63"/>
        <v>1.8526525177135906</v>
      </c>
      <c r="Q60" s="281">
        <v>1380</v>
      </c>
      <c r="R60" s="374">
        <f t="shared" si="64"/>
        <v>0.11343273767446449</v>
      </c>
      <c r="S60" s="281">
        <v>142918</v>
      </c>
      <c r="T60" s="374">
        <f t="shared" si="65"/>
        <v>11.747521741274721</v>
      </c>
      <c r="U60" s="281">
        <v>0</v>
      </c>
      <c r="V60" s="374">
        <f t="shared" si="66"/>
        <v>0</v>
      </c>
      <c r="W60" s="281">
        <v>0</v>
      </c>
      <c r="X60" s="374">
        <f t="shared" si="67"/>
        <v>0</v>
      </c>
      <c r="Y60" s="281">
        <v>183339</v>
      </c>
      <c r="Z60" s="374">
        <f t="shared" si="68"/>
        <v>15.070032385868581</v>
      </c>
      <c r="AA60" s="281">
        <v>1118</v>
      </c>
      <c r="AB60" s="374">
        <f t="shared" si="69"/>
        <v>9.1896957043515429E-2</v>
      </c>
      <c r="AC60" s="281">
        <v>305509</v>
      </c>
      <c r="AD60" s="374">
        <f t="shared" si="70"/>
        <v>25.112117575498527</v>
      </c>
    </row>
    <row r="61" spans="1:32" s="10" customFormat="1" ht="14.15" customHeight="1" thickBot="1">
      <c r="A61" s="912"/>
      <c r="B61" s="342">
        <v>32</v>
      </c>
      <c r="C61" s="342" t="s">
        <v>754</v>
      </c>
      <c r="D61" s="342">
        <v>1170</v>
      </c>
      <c r="E61" s="342">
        <v>11400</v>
      </c>
      <c r="F61" s="342">
        <v>0</v>
      </c>
      <c r="G61" s="342">
        <v>65361</v>
      </c>
      <c r="H61" s="247">
        <f t="shared" si="58"/>
        <v>65361</v>
      </c>
      <c r="I61" s="247">
        <f t="shared" si="59"/>
        <v>77931</v>
      </c>
      <c r="J61" s="247">
        <f t="shared" si="60"/>
        <v>12570</v>
      </c>
      <c r="K61" s="247">
        <v>0</v>
      </c>
      <c r="L61" s="369">
        <f t="shared" si="61"/>
        <v>0</v>
      </c>
      <c r="M61" s="247">
        <v>61211</v>
      </c>
      <c r="N61" s="369">
        <f t="shared" si="62"/>
        <v>78.545123250054544</v>
      </c>
      <c r="O61" s="247">
        <v>380</v>
      </c>
      <c r="P61" s="369">
        <f t="shared" si="63"/>
        <v>0.48761083522603327</v>
      </c>
      <c r="Q61" s="247">
        <v>0</v>
      </c>
      <c r="R61" s="369">
        <f t="shared" si="64"/>
        <v>0</v>
      </c>
      <c r="S61" s="247">
        <v>13554</v>
      </c>
      <c r="T61" s="369">
        <f t="shared" si="65"/>
        <v>17.392308580667514</v>
      </c>
      <c r="U61" s="247">
        <v>0</v>
      </c>
      <c r="V61" s="369">
        <f t="shared" si="66"/>
        <v>0</v>
      </c>
      <c r="W61" s="247">
        <v>0</v>
      </c>
      <c r="X61" s="369">
        <f t="shared" si="67"/>
        <v>0</v>
      </c>
      <c r="Y61" s="247">
        <v>2786</v>
      </c>
      <c r="Z61" s="369">
        <f t="shared" si="68"/>
        <v>3.5749573340519176</v>
      </c>
      <c r="AA61" s="247">
        <v>0</v>
      </c>
      <c r="AB61" s="369">
        <f t="shared" si="69"/>
        <v>0</v>
      </c>
      <c r="AC61" s="247">
        <v>0</v>
      </c>
      <c r="AD61" s="369">
        <f t="shared" si="70"/>
        <v>0</v>
      </c>
    </row>
    <row r="62" spans="1:32" s="343" customFormat="1" ht="14.15" customHeight="1" thickTop="1">
      <c r="A62" s="912"/>
      <c r="B62" s="252"/>
      <c r="C62" s="253" t="s">
        <v>34</v>
      </c>
      <c r="D62" s="259">
        <f t="shared" ref="D62:K62" si="71">+SUM(D55:D61)</f>
        <v>71347</v>
      </c>
      <c r="E62" s="259">
        <f t="shared" si="71"/>
        <v>200618</v>
      </c>
      <c r="F62" s="259">
        <f t="shared" si="71"/>
        <v>109462</v>
      </c>
      <c r="G62" s="259">
        <f t="shared" si="71"/>
        <v>3367087</v>
      </c>
      <c r="H62" s="259">
        <f t="shared" si="71"/>
        <v>3476549</v>
      </c>
      <c r="I62" s="259">
        <f t="shared" si="71"/>
        <v>3748514</v>
      </c>
      <c r="J62" s="259">
        <f t="shared" si="71"/>
        <v>381427</v>
      </c>
      <c r="K62" s="259">
        <f t="shared" si="71"/>
        <v>18156</v>
      </c>
      <c r="L62" s="370">
        <f t="shared" si="61"/>
        <v>0.4843519325257955</v>
      </c>
      <c r="M62" s="259">
        <f>+SUM(M55:M61)</f>
        <v>2271553</v>
      </c>
      <c r="N62" s="370">
        <f t="shared" si="62"/>
        <v>60.598759935270351</v>
      </c>
      <c r="O62" s="259">
        <f>+SUM(O55:O61)</f>
        <v>75621</v>
      </c>
      <c r="P62" s="370">
        <f t="shared" si="63"/>
        <v>2.0173594122897769</v>
      </c>
      <c r="Q62" s="259">
        <f>+SUM(Q55:Q61)</f>
        <v>5635</v>
      </c>
      <c r="R62" s="370">
        <f t="shared" si="64"/>
        <v>0.15032623594309638</v>
      </c>
      <c r="S62" s="259">
        <f>+SUM(S55:S61)</f>
        <v>566986</v>
      </c>
      <c r="T62" s="370">
        <f t="shared" si="65"/>
        <v>15.125620445862015</v>
      </c>
      <c r="U62" s="259">
        <f>+SUM(U55:U61)</f>
        <v>0</v>
      </c>
      <c r="V62" s="370">
        <f t="shared" si="66"/>
        <v>0</v>
      </c>
      <c r="W62" s="259">
        <f>+SUM(W55:W61)</f>
        <v>0</v>
      </c>
      <c r="X62" s="370">
        <f t="shared" si="67"/>
        <v>0</v>
      </c>
      <c r="Y62" s="259">
        <f>+SUM(Y55:Y61)</f>
        <v>486539</v>
      </c>
      <c r="Z62" s="370">
        <f t="shared" si="68"/>
        <v>12.979516683144308</v>
      </c>
      <c r="AA62" s="259">
        <f>+SUM(AA55:AA61)</f>
        <v>9635</v>
      </c>
      <c r="AB62" s="370">
        <f t="shared" si="69"/>
        <v>0.257035187810423</v>
      </c>
      <c r="AC62" s="259">
        <f>+SUM(AC55:AC61)</f>
        <v>314389</v>
      </c>
      <c r="AD62" s="370">
        <f t="shared" si="70"/>
        <v>8.3870301671542364</v>
      </c>
      <c r="AE62" s="10"/>
      <c r="AF62" s="10"/>
    </row>
    <row r="63" spans="1:32" s="343" customFormat="1" ht="14.15" customHeight="1">
      <c r="A63" s="912"/>
      <c r="B63" s="263"/>
      <c r="C63" s="264"/>
      <c r="D63" s="270"/>
      <c r="E63" s="270"/>
      <c r="F63" s="270"/>
      <c r="G63" s="270"/>
      <c r="H63" s="270"/>
      <c r="I63" s="270"/>
      <c r="J63" s="270"/>
      <c r="K63" s="270"/>
      <c r="L63" s="371"/>
      <c r="M63" s="270"/>
      <c r="N63" s="371"/>
      <c r="O63" s="270"/>
      <c r="P63" s="371"/>
      <c r="Q63" s="270"/>
      <c r="R63" s="371"/>
      <c r="S63" s="270"/>
      <c r="T63" s="371"/>
      <c r="U63" s="270"/>
      <c r="V63" s="371"/>
      <c r="W63" s="270"/>
      <c r="X63" s="371"/>
      <c r="Y63" s="270"/>
      <c r="Z63" s="371"/>
      <c r="AA63" s="270"/>
      <c r="AB63" s="371"/>
      <c r="AC63" s="270"/>
      <c r="AD63" s="371"/>
      <c r="AE63" s="10"/>
      <c r="AF63" s="10"/>
    </row>
    <row r="64" spans="1:32" s="10" customFormat="1" ht="14.15" customHeight="1">
      <c r="A64" s="913" t="s">
        <v>520</v>
      </c>
      <c r="B64" s="339">
        <v>9</v>
      </c>
      <c r="C64" s="339" t="s">
        <v>755</v>
      </c>
      <c r="D64" s="339">
        <v>16627</v>
      </c>
      <c r="E64" s="339">
        <v>43042</v>
      </c>
      <c r="F64" s="339">
        <v>0</v>
      </c>
      <c r="G64" s="339">
        <v>299971</v>
      </c>
      <c r="H64" s="281">
        <f>F64+G64</f>
        <v>299971</v>
      </c>
      <c r="I64" s="306">
        <f>D64+E64+H64</f>
        <v>359640</v>
      </c>
      <c r="J64" s="239">
        <f>D64+E64+F64</f>
        <v>59669</v>
      </c>
      <c r="K64" s="231">
        <v>31648</v>
      </c>
      <c r="L64" s="367">
        <f>K64/$I64*100</f>
        <v>8.7999110221332444</v>
      </c>
      <c r="M64" s="231">
        <v>255263</v>
      </c>
      <c r="N64" s="367">
        <f>M64/$I64*100</f>
        <v>70.977366255144034</v>
      </c>
      <c r="O64" s="231">
        <v>169</v>
      </c>
      <c r="P64" s="367">
        <f>O64/$I64*100</f>
        <v>4.6991435880324769E-2</v>
      </c>
      <c r="Q64" s="231">
        <v>1985</v>
      </c>
      <c r="R64" s="367">
        <f>Q64/$I64*100</f>
        <v>0.55194082971860747</v>
      </c>
      <c r="S64" s="231">
        <v>52281</v>
      </c>
      <c r="T64" s="367">
        <f>S64/$I64*100</f>
        <v>14.537037037037038</v>
      </c>
      <c r="U64" s="2072">
        <v>85</v>
      </c>
      <c r="V64" s="367">
        <f>U64/$I64*100</f>
        <v>2.3634745856968079E-2</v>
      </c>
      <c r="W64" s="231">
        <v>0</v>
      </c>
      <c r="X64" s="367">
        <f>W64/$I64*100</f>
        <v>0</v>
      </c>
      <c r="Y64" s="231">
        <v>16098</v>
      </c>
      <c r="Z64" s="367">
        <f>Y64/$I64*100</f>
        <v>4.4761428094761424</v>
      </c>
      <c r="AA64" s="231">
        <v>897</v>
      </c>
      <c r="AB64" s="367">
        <f>AA64/$I64*100</f>
        <v>0.2494160827494161</v>
      </c>
      <c r="AC64" s="231">
        <v>1214</v>
      </c>
      <c r="AD64" s="367">
        <f>AC64/$I64*100</f>
        <v>0.33755978200422643</v>
      </c>
    </row>
    <row r="65" spans="1:32" s="10" customFormat="1" ht="14.15" customHeight="1">
      <c r="A65" s="913"/>
      <c r="B65" s="340">
        <v>22</v>
      </c>
      <c r="C65" s="340" t="s">
        <v>757</v>
      </c>
      <c r="D65" s="340">
        <v>3852</v>
      </c>
      <c r="E65" s="340">
        <v>6150</v>
      </c>
      <c r="F65" s="340">
        <v>2900</v>
      </c>
      <c r="G65" s="340">
        <v>81899</v>
      </c>
      <c r="H65" s="239">
        <f>F65+G65</f>
        <v>84799</v>
      </c>
      <c r="I65" s="239">
        <f>D65+E65+H65</f>
        <v>94801</v>
      </c>
      <c r="J65" s="239">
        <f>D65+E65+F65</f>
        <v>12902</v>
      </c>
      <c r="K65" s="239">
        <v>5175</v>
      </c>
      <c r="L65" s="368">
        <f>K65/$I65*100</f>
        <v>5.4588031771816752</v>
      </c>
      <c r="M65" s="239">
        <v>38227</v>
      </c>
      <c r="N65" s="368">
        <f>M65/$I65*100</f>
        <v>40.323414309975632</v>
      </c>
      <c r="O65" s="239">
        <v>1935</v>
      </c>
      <c r="P65" s="368">
        <f>O65/$I65*100</f>
        <v>2.0411177097288005</v>
      </c>
      <c r="Q65" s="239">
        <v>3573</v>
      </c>
      <c r="R65" s="368">
        <f>Q65/$I65*100</f>
        <v>3.7689475849410869</v>
      </c>
      <c r="S65" s="239">
        <v>32152</v>
      </c>
      <c r="T65" s="368">
        <f>S65/$I65*100</f>
        <v>33.915254058501496</v>
      </c>
      <c r="U65" s="239">
        <v>0</v>
      </c>
      <c r="V65" s="368">
        <f>U65/$I65*100</f>
        <v>0</v>
      </c>
      <c r="W65" s="239">
        <v>0</v>
      </c>
      <c r="X65" s="368">
        <f>W65/$I65*100</f>
        <v>0</v>
      </c>
      <c r="Y65" s="239">
        <v>5064</v>
      </c>
      <c r="Z65" s="368">
        <f>Y65/$I65*100</f>
        <v>5.341715804685605</v>
      </c>
      <c r="AA65" s="239">
        <v>0</v>
      </c>
      <c r="AB65" s="368">
        <f>AA65/$I65*100</f>
        <v>0</v>
      </c>
      <c r="AC65" s="239">
        <v>8675</v>
      </c>
      <c r="AD65" s="368">
        <f>AC65/$I65*100</f>
        <v>9.1507473549857075</v>
      </c>
    </row>
    <row r="66" spans="1:32" s="10" customFormat="1" ht="14.15" customHeight="1">
      <c r="A66" s="913"/>
      <c r="B66" s="340">
        <v>74</v>
      </c>
      <c r="C66" s="340" t="s">
        <v>758</v>
      </c>
      <c r="D66" s="340">
        <v>1718</v>
      </c>
      <c r="E66" s="340">
        <v>0</v>
      </c>
      <c r="F66" s="340">
        <v>3364</v>
      </c>
      <c r="G66" s="340">
        <v>122877</v>
      </c>
      <c r="H66" s="239">
        <f>F66+G66</f>
        <v>126241</v>
      </c>
      <c r="I66" s="239">
        <f>D66+E66+H66</f>
        <v>127959</v>
      </c>
      <c r="J66" s="239">
        <f>D66+E66+F66</f>
        <v>5082</v>
      </c>
      <c r="K66" s="239">
        <v>0</v>
      </c>
      <c r="L66" s="368">
        <f>K66/$I66*100</f>
        <v>0</v>
      </c>
      <c r="M66" s="239">
        <v>49340</v>
      </c>
      <c r="N66" s="368">
        <f>M66/$I66*100</f>
        <v>38.559226002078788</v>
      </c>
      <c r="O66" s="239">
        <v>115</v>
      </c>
      <c r="P66" s="368">
        <f>O66/$I66*100</f>
        <v>8.9872537297102983E-2</v>
      </c>
      <c r="Q66" s="239">
        <v>0</v>
      </c>
      <c r="R66" s="368">
        <f>Q66/$I66*100</f>
        <v>0</v>
      </c>
      <c r="S66" s="239">
        <v>61688</v>
      </c>
      <c r="T66" s="368">
        <f>S66/$I66*100</f>
        <v>48.209192006814682</v>
      </c>
      <c r="U66" s="239">
        <v>0</v>
      </c>
      <c r="V66" s="368">
        <f>U66/$I66*100</f>
        <v>0</v>
      </c>
      <c r="W66" s="239">
        <v>0</v>
      </c>
      <c r="X66" s="368">
        <f>W66/$I66*100</f>
        <v>0</v>
      </c>
      <c r="Y66" s="239">
        <v>15716</v>
      </c>
      <c r="Z66" s="368">
        <f>Y66/$I66*100</f>
        <v>12.282059097054525</v>
      </c>
      <c r="AA66" s="239">
        <v>171</v>
      </c>
      <c r="AB66" s="368">
        <f>AA66/$I66*100</f>
        <v>0.13363655545917053</v>
      </c>
      <c r="AC66" s="239">
        <v>929</v>
      </c>
      <c r="AD66" s="368">
        <f>AC66/$I66*100</f>
        <v>0.72601380129572757</v>
      </c>
    </row>
    <row r="67" spans="1:32" s="10" customFormat="1" ht="14.15" customHeight="1" thickBot="1">
      <c r="A67" s="913"/>
      <c r="B67" s="342">
        <v>63</v>
      </c>
      <c r="C67" s="342" t="s">
        <v>759</v>
      </c>
      <c r="D67" s="342">
        <v>195</v>
      </c>
      <c r="E67" s="342">
        <v>23422</v>
      </c>
      <c r="F67" s="342">
        <v>0</v>
      </c>
      <c r="G67" s="342">
        <v>178717</v>
      </c>
      <c r="H67" s="287">
        <f>F67+G67</f>
        <v>178717</v>
      </c>
      <c r="I67" s="293">
        <f>D67+E67+H67</f>
        <v>202334</v>
      </c>
      <c r="J67" s="239">
        <f>D67+E67+F67</f>
        <v>23617</v>
      </c>
      <c r="K67" s="247">
        <v>0</v>
      </c>
      <c r="L67" s="369">
        <f>K67/$I67*100</f>
        <v>0</v>
      </c>
      <c r="M67" s="247">
        <v>54183</v>
      </c>
      <c r="N67" s="369">
        <f>M67/$I67*100</f>
        <v>26.778989196081724</v>
      </c>
      <c r="O67" s="247">
        <v>14244</v>
      </c>
      <c r="P67" s="369">
        <f>O67/$I67*100</f>
        <v>7.0398450087479123</v>
      </c>
      <c r="Q67" s="247">
        <v>48</v>
      </c>
      <c r="R67" s="369">
        <f>Q67/$I67*100</f>
        <v>2.3723150829816048E-2</v>
      </c>
      <c r="S67" s="247">
        <v>93687</v>
      </c>
      <c r="T67" s="369">
        <f>S67/$I67*100</f>
        <v>46.303142329020332</v>
      </c>
      <c r="U67" s="247">
        <v>0</v>
      </c>
      <c r="V67" s="369">
        <f>U67/$I67*100</f>
        <v>0</v>
      </c>
      <c r="W67" s="247">
        <v>0</v>
      </c>
      <c r="X67" s="369">
        <f>W67/$I67*100</f>
        <v>0</v>
      </c>
      <c r="Y67" s="247">
        <v>40081</v>
      </c>
      <c r="Z67" s="369">
        <f>Y67/$I67*100</f>
        <v>19.809325175205352</v>
      </c>
      <c r="AA67" s="247">
        <v>91</v>
      </c>
      <c r="AB67" s="369">
        <f>AA67/$I67*100</f>
        <v>4.4975140114859584E-2</v>
      </c>
      <c r="AC67" s="247">
        <v>0</v>
      </c>
      <c r="AD67" s="369">
        <f>AC67/$I67*100</f>
        <v>0</v>
      </c>
    </row>
    <row r="68" spans="1:32" s="343" customFormat="1" ht="14.15" customHeight="1" thickTop="1">
      <c r="A68" s="913"/>
      <c r="B68" s="252"/>
      <c r="C68" s="253" t="s">
        <v>34</v>
      </c>
      <c r="D68" s="259">
        <f t="shared" ref="D68:AC68" si="72">+SUM(D64:D67)</f>
        <v>22392</v>
      </c>
      <c r="E68" s="259">
        <f t="shared" si="72"/>
        <v>72614</v>
      </c>
      <c r="F68" s="259">
        <f t="shared" si="72"/>
        <v>6264</v>
      </c>
      <c r="G68" s="259">
        <f t="shared" si="72"/>
        <v>683464</v>
      </c>
      <c r="H68" s="259">
        <f t="shared" si="72"/>
        <v>689728</v>
      </c>
      <c r="I68" s="259">
        <f t="shared" si="72"/>
        <v>784734</v>
      </c>
      <c r="J68" s="259">
        <f t="shared" si="72"/>
        <v>101270</v>
      </c>
      <c r="K68" s="259">
        <f t="shared" si="72"/>
        <v>36823</v>
      </c>
      <c r="L68" s="370">
        <f>K68/$I68*100</f>
        <v>4.6924180677783811</v>
      </c>
      <c r="M68" s="259">
        <f t="shared" si="72"/>
        <v>397013</v>
      </c>
      <c r="N68" s="370">
        <f>M68/$I68*100</f>
        <v>50.592047751212512</v>
      </c>
      <c r="O68" s="259">
        <f t="shared" si="72"/>
        <v>16463</v>
      </c>
      <c r="P68" s="370">
        <f>O68/$I68*100</f>
        <v>2.0979083358182518</v>
      </c>
      <c r="Q68" s="259">
        <f t="shared" si="72"/>
        <v>5606</v>
      </c>
      <c r="R68" s="370">
        <f>Q68/$I68*100</f>
        <v>0.71438219829904148</v>
      </c>
      <c r="S68" s="259">
        <f t="shared" si="72"/>
        <v>239808</v>
      </c>
      <c r="T68" s="370">
        <f>S68/$I68*100</f>
        <v>30.559144882214866</v>
      </c>
      <c r="U68" s="259">
        <f t="shared" si="72"/>
        <v>85</v>
      </c>
      <c r="V68" s="370">
        <f>U68/$I68*100</f>
        <v>1.0831695835786394E-2</v>
      </c>
      <c r="W68" s="259">
        <f t="shared" si="72"/>
        <v>0</v>
      </c>
      <c r="X68" s="370">
        <f>W68/$I68*100</f>
        <v>0</v>
      </c>
      <c r="Y68" s="259">
        <f t="shared" si="72"/>
        <v>76959</v>
      </c>
      <c r="Z68" s="370">
        <f>Y68/$I68*100</f>
        <v>9.8070174097210021</v>
      </c>
      <c r="AA68" s="259">
        <f t="shared" si="72"/>
        <v>1159</v>
      </c>
      <c r="AB68" s="370">
        <f>AA68/$I68*100</f>
        <v>0.14769335851384036</v>
      </c>
      <c r="AC68" s="259">
        <f t="shared" si="72"/>
        <v>10818</v>
      </c>
      <c r="AD68" s="370">
        <f>AC68/$I68*100</f>
        <v>1.3785563006063202</v>
      </c>
      <c r="AE68" s="10"/>
      <c r="AF68" s="10"/>
    </row>
    <row r="69" spans="1:32" s="343" customFormat="1" ht="14.15" customHeight="1">
      <c r="A69" s="913"/>
      <c r="B69" s="263"/>
      <c r="C69" s="264"/>
      <c r="D69" s="270"/>
      <c r="E69" s="270"/>
      <c r="F69" s="270"/>
      <c r="G69" s="270"/>
      <c r="H69" s="270"/>
      <c r="I69" s="270"/>
      <c r="J69" s="270"/>
      <c r="K69" s="270"/>
      <c r="L69" s="371"/>
      <c r="M69" s="270"/>
      <c r="N69" s="371"/>
      <c r="O69" s="270"/>
      <c r="P69" s="371"/>
      <c r="Q69" s="270"/>
      <c r="R69" s="371"/>
      <c r="S69" s="270"/>
      <c r="T69" s="371"/>
      <c r="U69" s="270"/>
      <c r="V69" s="371"/>
      <c r="W69" s="270"/>
      <c r="X69" s="371"/>
      <c r="Y69" s="270"/>
      <c r="Z69" s="371"/>
      <c r="AA69" s="270"/>
      <c r="AB69" s="371"/>
      <c r="AC69" s="270"/>
      <c r="AD69" s="371"/>
      <c r="AE69" s="10"/>
      <c r="AF69" s="10"/>
    </row>
    <row r="70" spans="1:32" s="10" customFormat="1" ht="14.15" customHeight="1">
      <c r="A70" s="912" t="s">
        <v>255</v>
      </c>
      <c r="B70" s="339">
        <v>57</v>
      </c>
      <c r="C70" s="339" t="s">
        <v>517</v>
      </c>
      <c r="D70" s="339">
        <v>6953</v>
      </c>
      <c r="E70" s="339">
        <v>138050</v>
      </c>
      <c r="F70" s="339">
        <v>18345</v>
      </c>
      <c r="G70" s="339">
        <v>1296633</v>
      </c>
      <c r="H70" s="239">
        <f t="shared" ref="H70:H78" si="73">F70+G70</f>
        <v>1314978</v>
      </c>
      <c r="I70" s="239">
        <f t="shared" ref="I70:I78" si="74">D70+E70+H70</f>
        <v>1459981</v>
      </c>
      <c r="J70" s="231">
        <f t="shared" ref="J70:J78" si="75">D70+E70+F70</f>
        <v>163348</v>
      </c>
      <c r="K70" s="231">
        <v>393</v>
      </c>
      <c r="L70" s="367">
        <f t="shared" ref="L70:L79" si="76">K70/$I70*100</f>
        <v>2.691815852398079E-2</v>
      </c>
      <c r="M70" s="231">
        <v>1175714</v>
      </c>
      <c r="N70" s="367">
        <f t="shared" ref="N70:N79" si="77">M70/$I70*100</f>
        <v>80.529404149780021</v>
      </c>
      <c r="O70" s="231">
        <v>35030</v>
      </c>
      <c r="P70" s="367">
        <f t="shared" ref="P70:P79" si="78">O70/$I70*100</f>
        <v>2.3993462928627154</v>
      </c>
      <c r="Q70" s="231">
        <v>0</v>
      </c>
      <c r="R70" s="367">
        <f t="shared" ref="R70:R79" si="79">Q70/$I70*100</f>
        <v>0</v>
      </c>
      <c r="S70" s="231">
        <v>91085</v>
      </c>
      <c r="T70" s="367">
        <f t="shared" ref="T70:T79" si="80">S70/$I70*100</f>
        <v>6.2387798197373803</v>
      </c>
      <c r="U70" s="231">
        <v>0</v>
      </c>
      <c r="V70" s="367">
        <f t="shared" ref="V70:V79" si="81">U70/$I70*100</f>
        <v>0</v>
      </c>
      <c r="W70" s="231">
        <v>0</v>
      </c>
      <c r="X70" s="367">
        <f t="shared" ref="X70:X79" si="82">W70/$I70*100</f>
        <v>0</v>
      </c>
      <c r="Y70" s="231">
        <v>156253</v>
      </c>
      <c r="Z70" s="367">
        <f t="shared" ref="Z70:Z79" si="83">Y70/$I70*100</f>
        <v>10.70239955177499</v>
      </c>
      <c r="AA70" s="231">
        <v>823</v>
      </c>
      <c r="AB70" s="367">
        <f t="shared" ref="AB70:AB79" si="84">AA70/$I70*100</f>
        <v>5.6370596603654434E-2</v>
      </c>
      <c r="AC70" s="231">
        <v>683</v>
      </c>
      <c r="AD70" s="367">
        <f t="shared" ref="AD70:AD79" si="85">AC70/$I70*100</f>
        <v>4.6781430717249065E-2</v>
      </c>
    </row>
    <row r="71" spans="1:32" s="10" customFormat="1" ht="14.15" customHeight="1">
      <c r="A71" s="912"/>
      <c r="B71" s="340">
        <v>1</v>
      </c>
      <c r="C71" s="340" t="s">
        <v>760</v>
      </c>
      <c r="D71" s="340">
        <v>70156</v>
      </c>
      <c r="E71" s="340">
        <v>195891</v>
      </c>
      <c r="F71" s="340">
        <v>85854</v>
      </c>
      <c r="G71" s="340">
        <v>2117069</v>
      </c>
      <c r="H71" s="239">
        <f t="shared" si="73"/>
        <v>2202923</v>
      </c>
      <c r="I71" s="239">
        <f t="shared" si="74"/>
        <v>2468970</v>
      </c>
      <c r="J71" s="239">
        <f t="shared" si="75"/>
        <v>351901</v>
      </c>
      <c r="K71" s="239">
        <v>20490</v>
      </c>
      <c r="L71" s="368">
        <f t="shared" si="76"/>
        <v>0.82990072783387403</v>
      </c>
      <c r="M71" s="239">
        <v>1483994</v>
      </c>
      <c r="N71" s="368">
        <f t="shared" si="77"/>
        <v>60.105793104006935</v>
      </c>
      <c r="O71" s="239">
        <v>157806</v>
      </c>
      <c r="P71" s="368">
        <f t="shared" si="78"/>
        <v>6.3915721940728325</v>
      </c>
      <c r="Q71" s="239">
        <v>1928</v>
      </c>
      <c r="R71" s="368">
        <f t="shared" si="79"/>
        <v>7.8089243692713972E-2</v>
      </c>
      <c r="S71" s="239">
        <v>366163</v>
      </c>
      <c r="T71" s="368">
        <f t="shared" si="80"/>
        <v>14.830597374613705</v>
      </c>
      <c r="U71" s="239">
        <v>3509</v>
      </c>
      <c r="V71" s="368">
        <f t="shared" si="81"/>
        <v>0.14212404362952971</v>
      </c>
      <c r="W71" s="239">
        <v>0</v>
      </c>
      <c r="X71" s="368">
        <f t="shared" si="82"/>
        <v>0</v>
      </c>
      <c r="Y71" s="239">
        <v>434329</v>
      </c>
      <c r="Z71" s="368">
        <f t="shared" si="83"/>
        <v>17.591505769612429</v>
      </c>
      <c r="AA71" s="239">
        <v>0</v>
      </c>
      <c r="AB71" s="368">
        <f t="shared" si="84"/>
        <v>0</v>
      </c>
      <c r="AC71" s="239">
        <v>751</v>
      </c>
      <c r="AD71" s="368">
        <f t="shared" si="85"/>
        <v>3.0417542537981429E-2</v>
      </c>
    </row>
    <row r="72" spans="1:32" s="10" customFormat="1" ht="14.15" customHeight="1">
      <c r="A72" s="912"/>
      <c r="B72" s="340">
        <v>10</v>
      </c>
      <c r="C72" s="340" t="s">
        <v>761</v>
      </c>
      <c r="D72" s="340">
        <v>26483</v>
      </c>
      <c r="E72" s="340">
        <v>36632</v>
      </c>
      <c r="F72" s="340">
        <v>0</v>
      </c>
      <c r="G72" s="340">
        <v>360973</v>
      </c>
      <c r="H72" s="239">
        <f t="shared" si="73"/>
        <v>360973</v>
      </c>
      <c r="I72" s="239">
        <f t="shared" si="74"/>
        <v>424088</v>
      </c>
      <c r="J72" s="239">
        <f t="shared" si="75"/>
        <v>63115</v>
      </c>
      <c r="K72" s="239">
        <v>1712</v>
      </c>
      <c r="L72" s="368">
        <f t="shared" si="76"/>
        <v>0.40368980023014089</v>
      </c>
      <c r="M72" s="239">
        <v>393991</v>
      </c>
      <c r="N72" s="368">
        <f t="shared" si="77"/>
        <v>92.903123879949447</v>
      </c>
      <c r="O72" s="239">
        <v>2202</v>
      </c>
      <c r="P72" s="368">
        <f t="shared" si="78"/>
        <v>0.51923185753900125</v>
      </c>
      <c r="Q72" s="239">
        <v>7798</v>
      </c>
      <c r="R72" s="368">
        <f t="shared" si="79"/>
        <v>1.8387693120295787</v>
      </c>
      <c r="S72" s="239">
        <v>6289</v>
      </c>
      <c r="T72" s="368">
        <f t="shared" si="80"/>
        <v>1.48294693554168</v>
      </c>
      <c r="U72" s="239">
        <v>701</v>
      </c>
      <c r="V72" s="368">
        <f t="shared" si="81"/>
        <v>0.16529588198675746</v>
      </c>
      <c r="W72" s="239">
        <v>0</v>
      </c>
      <c r="X72" s="368">
        <f t="shared" si="82"/>
        <v>0</v>
      </c>
      <c r="Y72" s="239">
        <v>11020</v>
      </c>
      <c r="Z72" s="368">
        <f t="shared" si="83"/>
        <v>2.5985172888645751</v>
      </c>
      <c r="AA72" s="239">
        <v>375</v>
      </c>
      <c r="AB72" s="368">
        <f t="shared" si="84"/>
        <v>8.8425043858821759E-2</v>
      </c>
      <c r="AC72" s="239">
        <v>0</v>
      </c>
      <c r="AD72" s="368">
        <f t="shared" si="85"/>
        <v>0</v>
      </c>
    </row>
    <row r="73" spans="1:32" s="10" customFormat="1" ht="14.15" customHeight="1">
      <c r="A73" s="912"/>
      <c r="B73" s="340">
        <v>26</v>
      </c>
      <c r="C73" s="340" t="s">
        <v>762</v>
      </c>
      <c r="D73" s="340">
        <v>9049</v>
      </c>
      <c r="E73" s="340">
        <v>11677</v>
      </c>
      <c r="F73" s="340">
        <v>0</v>
      </c>
      <c r="G73" s="340">
        <v>74086</v>
      </c>
      <c r="H73" s="239">
        <f t="shared" si="73"/>
        <v>74086</v>
      </c>
      <c r="I73" s="239">
        <f t="shared" si="74"/>
        <v>94812</v>
      </c>
      <c r="J73" s="239">
        <f t="shared" si="75"/>
        <v>20726</v>
      </c>
      <c r="K73" s="239">
        <v>0</v>
      </c>
      <c r="L73" s="368">
        <f t="shared" si="76"/>
        <v>0</v>
      </c>
      <c r="M73" s="239">
        <v>24202</v>
      </c>
      <c r="N73" s="368">
        <f t="shared" si="77"/>
        <v>25.526304687170398</v>
      </c>
      <c r="O73" s="239">
        <v>5328</v>
      </c>
      <c r="P73" s="368">
        <f t="shared" si="78"/>
        <v>5.6195418301480826</v>
      </c>
      <c r="Q73" s="239">
        <v>602</v>
      </c>
      <c r="R73" s="368">
        <f t="shared" si="79"/>
        <v>0.63494072480276764</v>
      </c>
      <c r="S73" s="239">
        <v>52578</v>
      </c>
      <c r="T73" s="368">
        <f t="shared" si="80"/>
        <v>55.455005695481589</v>
      </c>
      <c r="U73" s="239">
        <v>582</v>
      </c>
      <c r="V73" s="368">
        <f t="shared" si="81"/>
        <v>0.61384634856347298</v>
      </c>
      <c r="W73" s="239">
        <v>0</v>
      </c>
      <c r="X73" s="368">
        <f t="shared" si="82"/>
        <v>0</v>
      </c>
      <c r="Y73" s="239">
        <v>11520</v>
      </c>
      <c r="Z73" s="368">
        <f t="shared" si="83"/>
        <v>12.150360713833692</v>
      </c>
      <c r="AA73" s="239">
        <v>0</v>
      </c>
      <c r="AB73" s="368">
        <f t="shared" si="84"/>
        <v>0</v>
      </c>
      <c r="AC73" s="239">
        <v>0</v>
      </c>
      <c r="AD73" s="368">
        <f t="shared" si="85"/>
        <v>0</v>
      </c>
    </row>
    <row r="74" spans="1:32" s="10" customFormat="1" ht="14.15" customHeight="1">
      <c r="A74" s="912"/>
      <c r="B74" s="340">
        <v>15</v>
      </c>
      <c r="C74" s="340" t="s">
        <v>763</v>
      </c>
      <c r="D74" s="340">
        <v>3542</v>
      </c>
      <c r="E74" s="340">
        <v>5741</v>
      </c>
      <c r="F74" s="340">
        <v>3479</v>
      </c>
      <c r="G74" s="340">
        <v>76856</v>
      </c>
      <c r="H74" s="239">
        <f t="shared" si="73"/>
        <v>80335</v>
      </c>
      <c r="I74" s="239">
        <f t="shared" si="74"/>
        <v>89618</v>
      </c>
      <c r="J74" s="239">
        <f t="shared" si="75"/>
        <v>12762</v>
      </c>
      <c r="K74" s="239">
        <v>472</v>
      </c>
      <c r="L74" s="368">
        <f t="shared" si="76"/>
        <v>0.52667990805418552</v>
      </c>
      <c r="M74" s="239">
        <v>76846</v>
      </c>
      <c r="N74" s="368">
        <f t="shared" si="77"/>
        <v>85.748398759177846</v>
      </c>
      <c r="O74" s="239">
        <v>0</v>
      </c>
      <c r="P74" s="368">
        <f t="shared" si="78"/>
        <v>0</v>
      </c>
      <c r="Q74" s="239">
        <v>2355</v>
      </c>
      <c r="R74" s="368">
        <f t="shared" si="79"/>
        <v>2.6278203039567942</v>
      </c>
      <c r="S74" s="239">
        <v>4948</v>
      </c>
      <c r="T74" s="368">
        <f t="shared" si="80"/>
        <v>5.5212122564663346</v>
      </c>
      <c r="U74" s="239">
        <v>0</v>
      </c>
      <c r="V74" s="368">
        <f t="shared" si="81"/>
        <v>0</v>
      </c>
      <c r="W74" s="239">
        <v>0</v>
      </c>
      <c r="X74" s="368">
        <f t="shared" si="82"/>
        <v>0</v>
      </c>
      <c r="Y74" s="239">
        <v>4997</v>
      </c>
      <c r="Z74" s="368">
        <f t="shared" si="83"/>
        <v>5.5758887723448414</v>
      </c>
      <c r="AA74" s="239">
        <v>0</v>
      </c>
      <c r="AB74" s="368">
        <f t="shared" si="84"/>
        <v>0</v>
      </c>
      <c r="AC74" s="239">
        <v>0</v>
      </c>
      <c r="AD74" s="368">
        <f t="shared" si="85"/>
        <v>0</v>
      </c>
    </row>
    <row r="75" spans="1:32" s="10" customFormat="1" ht="14.15" customHeight="1">
      <c r="A75" s="912"/>
      <c r="B75" s="340">
        <v>87</v>
      </c>
      <c r="C75" s="340" t="s">
        <v>764</v>
      </c>
      <c r="D75" s="340">
        <v>14787</v>
      </c>
      <c r="E75" s="340">
        <v>3493</v>
      </c>
      <c r="F75" s="340">
        <v>0</v>
      </c>
      <c r="G75" s="340">
        <v>66843</v>
      </c>
      <c r="H75" s="239">
        <f t="shared" si="73"/>
        <v>66843</v>
      </c>
      <c r="I75" s="239">
        <f t="shared" si="74"/>
        <v>85123</v>
      </c>
      <c r="J75" s="239">
        <f t="shared" si="75"/>
        <v>18280</v>
      </c>
      <c r="K75" s="239">
        <v>0</v>
      </c>
      <c r="L75" s="368">
        <f t="shared" si="76"/>
        <v>0</v>
      </c>
      <c r="M75" s="239">
        <v>32143</v>
      </c>
      <c r="N75" s="368">
        <f t="shared" si="77"/>
        <v>37.760652232651573</v>
      </c>
      <c r="O75" s="239">
        <v>0</v>
      </c>
      <c r="P75" s="368">
        <f t="shared" si="78"/>
        <v>0</v>
      </c>
      <c r="Q75" s="239">
        <v>0</v>
      </c>
      <c r="R75" s="368">
        <f t="shared" si="79"/>
        <v>0</v>
      </c>
      <c r="S75" s="239">
        <v>36600</v>
      </c>
      <c r="T75" s="368">
        <f t="shared" si="80"/>
        <v>42.99660491289076</v>
      </c>
      <c r="U75" s="239">
        <v>0</v>
      </c>
      <c r="V75" s="368">
        <f t="shared" si="81"/>
        <v>0</v>
      </c>
      <c r="W75" s="239">
        <v>0</v>
      </c>
      <c r="X75" s="368">
        <f t="shared" si="82"/>
        <v>0</v>
      </c>
      <c r="Y75" s="239">
        <v>15917</v>
      </c>
      <c r="Z75" s="368">
        <f t="shared" si="83"/>
        <v>18.698824054603339</v>
      </c>
      <c r="AA75" s="239">
        <v>0</v>
      </c>
      <c r="AB75" s="368">
        <f t="shared" si="84"/>
        <v>0</v>
      </c>
      <c r="AC75" s="239">
        <v>463</v>
      </c>
      <c r="AD75" s="368">
        <f t="shared" si="85"/>
        <v>0.54391879985432845</v>
      </c>
    </row>
    <row r="76" spans="1:32" s="10" customFormat="1" ht="14.15" customHeight="1">
      <c r="A76" s="912"/>
      <c r="B76" s="340">
        <v>81</v>
      </c>
      <c r="C76" s="340" t="s">
        <v>765</v>
      </c>
      <c r="D76" s="340">
        <v>4801</v>
      </c>
      <c r="E76" s="340">
        <v>6055</v>
      </c>
      <c r="F76" s="340">
        <v>2429</v>
      </c>
      <c r="G76" s="340">
        <v>224338</v>
      </c>
      <c r="H76" s="239">
        <f t="shared" si="73"/>
        <v>226767</v>
      </c>
      <c r="I76" s="239">
        <f t="shared" si="74"/>
        <v>237623</v>
      </c>
      <c r="J76" s="239">
        <f t="shared" si="75"/>
        <v>13285</v>
      </c>
      <c r="K76" s="239">
        <v>0</v>
      </c>
      <c r="L76" s="368">
        <f t="shared" si="76"/>
        <v>0</v>
      </c>
      <c r="M76" s="239">
        <v>72917</v>
      </c>
      <c r="N76" s="368">
        <f t="shared" si="77"/>
        <v>30.686002617591729</v>
      </c>
      <c r="O76" s="239">
        <v>948</v>
      </c>
      <c r="P76" s="368">
        <f t="shared" si="78"/>
        <v>0.3989512799686899</v>
      </c>
      <c r="Q76" s="239">
        <v>5202</v>
      </c>
      <c r="R76" s="368">
        <f t="shared" si="79"/>
        <v>2.1891820236256589</v>
      </c>
      <c r="S76" s="239">
        <v>87975</v>
      </c>
      <c r="T76" s="368">
        <f t="shared" si="80"/>
        <v>37.022931281904533</v>
      </c>
      <c r="U76" s="239">
        <v>0</v>
      </c>
      <c r="V76" s="368">
        <f t="shared" si="81"/>
        <v>0</v>
      </c>
      <c r="W76" s="239">
        <v>0</v>
      </c>
      <c r="X76" s="368">
        <f t="shared" si="82"/>
        <v>0</v>
      </c>
      <c r="Y76" s="239">
        <v>70563</v>
      </c>
      <c r="Z76" s="368">
        <f t="shared" si="83"/>
        <v>29.695357772606183</v>
      </c>
      <c r="AA76" s="239">
        <v>18</v>
      </c>
      <c r="AB76" s="368">
        <f t="shared" si="84"/>
        <v>7.5750243032029737E-3</v>
      </c>
      <c r="AC76" s="239">
        <v>0</v>
      </c>
      <c r="AD76" s="368">
        <f t="shared" si="85"/>
        <v>0</v>
      </c>
    </row>
    <row r="77" spans="1:32" s="10" customFormat="1" ht="14.15" customHeight="1">
      <c r="A77" s="912"/>
      <c r="B77" s="340">
        <v>54</v>
      </c>
      <c r="C77" s="340" t="s">
        <v>766</v>
      </c>
      <c r="D77" s="340">
        <v>10485</v>
      </c>
      <c r="E77" s="340">
        <v>19339</v>
      </c>
      <c r="F77" s="340">
        <v>29435</v>
      </c>
      <c r="G77" s="340">
        <v>95131</v>
      </c>
      <c r="H77" s="239">
        <f t="shared" si="73"/>
        <v>124566</v>
      </c>
      <c r="I77" s="239">
        <f t="shared" si="74"/>
        <v>154390</v>
      </c>
      <c r="J77" s="239">
        <f t="shared" si="75"/>
        <v>59259</v>
      </c>
      <c r="K77" s="239">
        <v>0</v>
      </c>
      <c r="L77" s="368">
        <f t="shared" si="76"/>
        <v>0</v>
      </c>
      <c r="M77" s="239">
        <v>104557</v>
      </c>
      <c r="N77" s="368">
        <f t="shared" si="77"/>
        <v>67.722650430727384</v>
      </c>
      <c r="O77" s="239">
        <v>15293</v>
      </c>
      <c r="P77" s="368">
        <f t="shared" si="78"/>
        <v>9.9054342897856085</v>
      </c>
      <c r="Q77" s="239">
        <v>802</v>
      </c>
      <c r="R77" s="368">
        <f t="shared" si="79"/>
        <v>0.51946369583522245</v>
      </c>
      <c r="S77" s="239">
        <v>15878</v>
      </c>
      <c r="T77" s="368">
        <f t="shared" si="80"/>
        <v>10.28434484098711</v>
      </c>
      <c r="U77" s="239">
        <v>0</v>
      </c>
      <c r="V77" s="368">
        <f t="shared" si="81"/>
        <v>0</v>
      </c>
      <c r="W77" s="239">
        <v>0</v>
      </c>
      <c r="X77" s="368">
        <f t="shared" si="82"/>
        <v>0</v>
      </c>
      <c r="Y77" s="239">
        <v>17806</v>
      </c>
      <c r="Z77" s="368">
        <f t="shared" si="83"/>
        <v>11.533130384092233</v>
      </c>
      <c r="AA77" s="239">
        <v>54</v>
      </c>
      <c r="AB77" s="368">
        <f t="shared" si="84"/>
        <v>3.4976358572446402E-2</v>
      </c>
      <c r="AC77" s="239">
        <v>0</v>
      </c>
      <c r="AD77" s="368">
        <f t="shared" si="85"/>
        <v>0</v>
      </c>
    </row>
    <row r="78" spans="1:32" s="10" customFormat="1" ht="14.15" customHeight="1" thickBot="1">
      <c r="A78" s="912"/>
      <c r="B78" s="342">
        <v>75</v>
      </c>
      <c r="C78" s="342" t="s">
        <v>767</v>
      </c>
      <c r="D78" s="342">
        <v>4779</v>
      </c>
      <c r="E78" s="342">
        <v>4336</v>
      </c>
      <c r="F78" s="342">
        <v>0</v>
      </c>
      <c r="G78" s="342">
        <v>75947</v>
      </c>
      <c r="H78" s="239">
        <f t="shared" si="73"/>
        <v>75947</v>
      </c>
      <c r="I78" s="239">
        <f t="shared" si="74"/>
        <v>85062</v>
      </c>
      <c r="J78" s="247">
        <f t="shared" si="75"/>
        <v>9115</v>
      </c>
      <c r="K78" s="247">
        <v>0</v>
      </c>
      <c r="L78" s="369">
        <f t="shared" si="76"/>
        <v>0</v>
      </c>
      <c r="M78" s="247">
        <v>59793</v>
      </c>
      <c r="N78" s="369">
        <f t="shared" si="77"/>
        <v>70.293433025322699</v>
      </c>
      <c r="O78" s="247">
        <v>159</v>
      </c>
      <c r="P78" s="369">
        <f t="shared" si="78"/>
        <v>0.18692248007335827</v>
      </c>
      <c r="Q78" s="247">
        <v>465</v>
      </c>
      <c r="R78" s="369">
        <f t="shared" si="79"/>
        <v>0.5466600832334062</v>
      </c>
      <c r="S78" s="247">
        <v>14332</v>
      </c>
      <c r="T78" s="369">
        <f t="shared" si="80"/>
        <v>16.848886694411135</v>
      </c>
      <c r="U78" s="247">
        <v>0</v>
      </c>
      <c r="V78" s="369">
        <f t="shared" si="81"/>
        <v>0</v>
      </c>
      <c r="W78" s="247">
        <v>0</v>
      </c>
      <c r="X78" s="369">
        <f t="shared" si="82"/>
        <v>0</v>
      </c>
      <c r="Y78" s="247">
        <v>10299</v>
      </c>
      <c r="Z78" s="369">
        <f t="shared" si="83"/>
        <v>12.107639133808281</v>
      </c>
      <c r="AA78" s="247">
        <v>0</v>
      </c>
      <c r="AB78" s="369">
        <f t="shared" si="84"/>
        <v>0</v>
      </c>
      <c r="AC78" s="247">
        <v>14</v>
      </c>
      <c r="AD78" s="369">
        <f t="shared" si="85"/>
        <v>1.6458583151113305E-2</v>
      </c>
    </row>
    <row r="79" spans="1:32" s="343" customFormat="1" ht="14.15" customHeight="1" thickTop="1">
      <c r="A79" s="912"/>
      <c r="B79" s="252"/>
      <c r="C79" s="253" t="s">
        <v>34</v>
      </c>
      <c r="D79" s="259">
        <f t="shared" ref="D79:AC79" si="86">+SUM(D70:D78)</f>
        <v>151035</v>
      </c>
      <c r="E79" s="259">
        <f t="shared" si="86"/>
        <v>421214</v>
      </c>
      <c r="F79" s="259">
        <f t="shared" si="86"/>
        <v>139542</v>
      </c>
      <c r="G79" s="259">
        <f t="shared" si="86"/>
        <v>4387876</v>
      </c>
      <c r="H79" s="259">
        <f t="shared" si="86"/>
        <v>4527418</v>
      </c>
      <c r="I79" s="259">
        <f t="shared" si="86"/>
        <v>5099667</v>
      </c>
      <c r="J79" s="259">
        <f t="shared" si="86"/>
        <v>711791</v>
      </c>
      <c r="K79" s="259">
        <f t="shared" si="86"/>
        <v>23067</v>
      </c>
      <c r="L79" s="370">
        <f t="shared" si="76"/>
        <v>0.45232365172078887</v>
      </c>
      <c r="M79" s="259">
        <f t="shared" si="86"/>
        <v>3424157</v>
      </c>
      <c r="N79" s="370">
        <f t="shared" si="77"/>
        <v>67.144717488416404</v>
      </c>
      <c r="O79" s="259">
        <f t="shared" si="86"/>
        <v>216766</v>
      </c>
      <c r="P79" s="370">
        <f t="shared" si="78"/>
        <v>4.250591264096264</v>
      </c>
      <c r="Q79" s="259">
        <f t="shared" si="86"/>
        <v>19152</v>
      </c>
      <c r="R79" s="370">
        <f t="shared" si="79"/>
        <v>0.37555393322740488</v>
      </c>
      <c r="S79" s="259">
        <f t="shared" si="86"/>
        <v>675848</v>
      </c>
      <c r="T79" s="370">
        <f t="shared" si="80"/>
        <v>13.252786897654298</v>
      </c>
      <c r="U79" s="259">
        <f t="shared" si="86"/>
        <v>4792</v>
      </c>
      <c r="V79" s="370">
        <f t="shared" si="81"/>
        <v>9.3966919800841903E-2</v>
      </c>
      <c r="W79" s="259">
        <f t="shared" si="86"/>
        <v>0</v>
      </c>
      <c r="X79" s="370">
        <f t="shared" si="82"/>
        <v>0</v>
      </c>
      <c r="Y79" s="259">
        <f t="shared" si="86"/>
        <v>732704</v>
      </c>
      <c r="Z79" s="370">
        <f t="shared" si="83"/>
        <v>14.367683223237909</v>
      </c>
      <c r="AA79" s="259">
        <f t="shared" si="86"/>
        <v>1270</v>
      </c>
      <c r="AB79" s="370">
        <f t="shared" si="84"/>
        <v>2.4903586842042823E-2</v>
      </c>
      <c r="AC79" s="259">
        <f t="shared" si="86"/>
        <v>1911</v>
      </c>
      <c r="AD79" s="370">
        <f t="shared" si="85"/>
        <v>3.7473035004050262E-2</v>
      </c>
      <c r="AE79" s="10"/>
      <c r="AF79" s="10"/>
    </row>
    <row r="80" spans="1:32" s="343" customFormat="1" ht="14.15" customHeight="1">
      <c r="A80" s="912"/>
      <c r="B80" s="263"/>
      <c r="C80" s="264"/>
      <c r="D80" s="270"/>
      <c r="E80" s="270"/>
      <c r="F80" s="270"/>
      <c r="G80" s="270"/>
      <c r="H80" s="270"/>
      <c r="I80" s="270"/>
      <c r="J80" s="270"/>
      <c r="K80" s="270"/>
      <c r="L80" s="371"/>
      <c r="M80" s="270"/>
      <c r="N80" s="371"/>
      <c r="O80" s="270"/>
      <c r="P80" s="371"/>
      <c r="Q80" s="270"/>
      <c r="R80" s="371"/>
      <c r="S80" s="270"/>
      <c r="T80" s="371"/>
      <c r="U80" s="270"/>
      <c r="V80" s="371"/>
      <c r="W80" s="270"/>
      <c r="X80" s="371"/>
      <c r="Y80" s="270"/>
      <c r="Z80" s="371"/>
      <c r="AA80" s="270"/>
      <c r="AB80" s="371"/>
      <c r="AC80" s="270"/>
      <c r="AD80" s="371"/>
      <c r="AE80" s="10"/>
      <c r="AF80" s="10"/>
    </row>
    <row r="81" spans="1:32" s="10" customFormat="1" ht="14.15" customHeight="1">
      <c r="A81" s="912" t="s">
        <v>768</v>
      </c>
      <c r="B81" s="339">
        <v>2</v>
      </c>
      <c r="C81" s="339" t="s">
        <v>769</v>
      </c>
      <c r="D81" s="339">
        <v>13227</v>
      </c>
      <c r="E81" s="339">
        <v>31757</v>
      </c>
      <c r="F81" s="339">
        <v>0</v>
      </c>
      <c r="G81" s="339">
        <v>307747</v>
      </c>
      <c r="H81" s="231">
        <f t="shared" ref="H81:H85" si="87">F81+G81</f>
        <v>307747</v>
      </c>
      <c r="I81" s="231">
        <f t="shared" ref="I81:I85" si="88">D81+E81+H81</f>
        <v>352731</v>
      </c>
      <c r="J81" s="231">
        <f t="shared" ref="J81:J85" si="89">D81+E81+F81</f>
        <v>44984</v>
      </c>
      <c r="K81" s="231">
        <v>0</v>
      </c>
      <c r="L81" s="367">
        <f t="shared" ref="L81:L86" si="90">K81/$I81*100</f>
        <v>0</v>
      </c>
      <c r="M81" s="231">
        <v>277673</v>
      </c>
      <c r="N81" s="367">
        <f t="shared" ref="N81:N86" si="91">M81/$I81*100</f>
        <v>78.720894959615123</v>
      </c>
      <c r="O81" s="231">
        <v>527</v>
      </c>
      <c r="P81" s="367">
        <f t="shared" ref="P81:P86" si="92">O81/$I81*100</f>
        <v>0.14940563772393126</v>
      </c>
      <c r="Q81" s="231">
        <v>7758</v>
      </c>
      <c r="R81" s="367">
        <f t="shared" ref="R81:R86" si="93">Q81/$I81*100</f>
        <v>2.1994097485052349</v>
      </c>
      <c r="S81" s="231">
        <v>17395</v>
      </c>
      <c r="T81" s="367">
        <f t="shared" ref="T81:T86" si="94">S81/$I81*100</f>
        <v>4.9315200535252073</v>
      </c>
      <c r="U81" s="231">
        <v>0</v>
      </c>
      <c r="V81" s="367">
        <f t="shared" ref="V81:V86" si="95">U81/$I81*100</f>
        <v>0</v>
      </c>
      <c r="W81" s="231">
        <v>0</v>
      </c>
      <c r="X81" s="367">
        <f t="shared" ref="X81:X86" si="96">W81/$I81*100</f>
        <v>0</v>
      </c>
      <c r="Y81" s="231">
        <v>49362</v>
      </c>
      <c r="Z81" s="367">
        <f t="shared" ref="Z81:Z86" si="97">Y81/$I81*100</f>
        <v>13.994233566088607</v>
      </c>
      <c r="AA81" s="231">
        <v>16</v>
      </c>
      <c r="AB81" s="367">
        <f t="shared" ref="AB81:AB86" si="98">AA81/$I81*100</f>
        <v>4.5360345419030368E-3</v>
      </c>
      <c r="AC81" s="231">
        <v>0</v>
      </c>
      <c r="AD81" s="367">
        <f t="shared" ref="AD81:AD86" si="99">AC81/$I81*100</f>
        <v>0</v>
      </c>
    </row>
    <row r="82" spans="1:32" s="10" customFormat="1" ht="14.15" customHeight="1">
      <c r="A82" s="912"/>
      <c r="B82" s="340">
        <v>27</v>
      </c>
      <c r="C82" s="340" t="s">
        <v>770</v>
      </c>
      <c r="D82" s="340">
        <v>31547</v>
      </c>
      <c r="E82" s="340">
        <v>44665</v>
      </c>
      <c r="F82" s="340">
        <v>1769</v>
      </c>
      <c r="G82" s="340">
        <v>289205</v>
      </c>
      <c r="H82" s="239">
        <f t="shared" si="87"/>
        <v>290974</v>
      </c>
      <c r="I82" s="239">
        <f t="shared" si="88"/>
        <v>367186</v>
      </c>
      <c r="J82" s="239">
        <f t="shared" si="89"/>
        <v>77981</v>
      </c>
      <c r="K82" s="239">
        <v>130</v>
      </c>
      <c r="L82" s="368">
        <f t="shared" si="90"/>
        <v>3.5404399949889157E-2</v>
      </c>
      <c r="M82" s="239">
        <v>106594</v>
      </c>
      <c r="N82" s="368">
        <f t="shared" si="91"/>
        <v>29.029973909680649</v>
      </c>
      <c r="O82" s="239">
        <v>5453</v>
      </c>
      <c r="P82" s="368">
        <f t="shared" si="92"/>
        <v>1.4850784071288121</v>
      </c>
      <c r="Q82" s="239">
        <v>1015</v>
      </c>
      <c r="R82" s="368">
        <f t="shared" si="93"/>
        <v>0.27642666114721154</v>
      </c>
      <c r="S82" s="239">
        <v>208306</v>
      </c>
      <c r="T82" s="368">
        <f t="shared" si="94"/>
        <v>56.730376430473925</v>
      </c>
      <c r="U82" s="239">
        <v>0</v>
      </c>
      <c r="V82" s="368">
        <f t="shared" si="95"/>
        <v>0</v>
      </c>
      <c r="W82" s="239">
        <v>0</v>
      </c>
      <c r="X82" s="368">
        <f t="shared" si="96"/>
        <v>0</v>
      </c>
      <c r="Y82" s="239">
        <v>44229</v>
      </c>
      <c r="Z82" s="368">
        <f t="shared" si="97"/>
        <v>12.045393887566519</v>
      </c>
      <c r="AA82" s="239">
        <v>1365</v>
      </c>
      <c r="AB82" s="368">
        <f t="shared" si="98"/>
        <v>0.37174619947383614</v>
      </c>
      <c r="AC82" s="239">
        <v>94</v>
      </c>
      <c r="AD82" s="368">
        <f t="shared" si="99"/>
        <v>2.5600104579150622E-2</v>
      </c>
    </row>
    <row r="83" spans="1:32" s="10" customFormat="1" ht="14.15" customHeight="1">
      <c r="A83" s="912"/>
      <c r="B83" s="340">
        <v>21</v>
      </c>
      <c r="C83" s="340" t="s">
        <v>771</v>
      </c>
      <c r="D83" s="340">
        <v>10239</v>
      </c>
      <c r="E83" s="340">
        <v>10011</v>
      </c>
      <c r="F83" s="340">
        <v>0</v>
      </c>
      <c r="G83" s="340">
        <v>84389</v>
      </c>
      <c r="H83" s="239">
        <f t="shared" si="87"/>
        <v>84389</v>
      </c>
      <c r="I83" s="239">
        <f t="shared" si="88"/>
        <v>104639</v>
      </c>
      <c r="J83" s="239">
        <f t="shared" si="89"/>
        <v>20250</v>
      </c>
      <c r="K83" s="239">
        <v>0</v>
      </c>
      <c r="L83" s="368">
        <f t="shared" si="90"/>
        <v>0</v>
      </c>
      <c r="M83" s="239">
        <v>28640</v>
      </c>
      <c r="N83" s="368">
        <f t="shared" si="91"/>
        <v>27.370292147287341</v>
      </c>
      <c r="O83" s="239">
        <v>943</v>
      </c>
      <c r="P83" s="368">
        <f t="shared" si="92"/>
        <v>0.90119362761494282</v>
      </c>
      <c r="Q83" s="239">
        <v>5795</v>
      </c>
      <c r="R83" s="368">
        <f t="shared" si="93"/>
        <v>5.5380880933495158</v>
      </c>
      <c r="S83" s="239">
        <v>64720</v>
      </c>
      <c r="T83" s="368">
        <f t="shared" si="94"/>
        <v>61.850743986467762</v>
      </c>
      <c r="U83" s="239">
        <v>0</v>
      </c>
      <c r="V83" s="368">
        <f t="shared" si="95"/>
        <v>0</v>
      </c>
      <c r="W83" s="239">
        <v>0</v>
      </c>
      <c r="X83" s="368">
        <f t="shared" si="96"/>
        <v>0</v>
      </c>
      <c r="Y83" s="239">
        <v>4395</v>
      </c>
      <c r="Z83" s="368">
        <f t="shared" si="97"/>
        <v>4.2001548179932913</v>
      </c>
      <c r="AA83" s="239">
        <v>146</v>
      </c>
      <c r="AB83" s="368">
        <f t="shared" si="98"/>
        <v>0.13952732728714914</v>
      </c>
      <c r="AC83" s="239">
        <v>0</v>
      </c>
      <c r="AD83" s="368">
        <f t="shared" si="99"/>
        <v>0</v>
      </c>
    </row>
    <row r="84" spans="1:32" s="10" customFormat="1" ht="14.15" customHeight="1">
      <c r="A84" s="912"/>
      <c r="B84" s="340">
        <v>40</v>
      </c>
      <c r="C84" s="340" t="s">
        <v>772</v>
      </c>
      <c r="D84" s="340">
        <v>5546</v>
      </c>
      <c r="E84" s="340">
        <v>1373</v>
      </c>
      <c r="F84" s="340">
        <v>0</v>
      </c>
      <c r="G84" s="340">
        <v>58547</v>
      </c>
      <c r="H84" s="239">
        <f t="shared" si="87"/>
        <v>58547</v>
      </c>
      <c r="I84" s="239">
        <f t="shared" si="88"/>
        <v>65466</v>
      </c>
      <c r="J84" s="239">
        <f t="shared" si="89"/>
        <v>6919</v>
      </c>
      <c r="K84" s="239">
        <v>335</v>
      </c>
      <c r="L84" s="368">
        <f t="shared" si="90"/>
        <v>0.51171600525463601</v>
      </c>
      <c r="M84" s="239">
        <v>8686</v>
      </c>
      <c r="N84" s="368">
        <f t="shared" si="91"/>
        <v>13.267955885497814</v>
      </c>
      <c r="O84" s="239">
        <v>277</v>
      </c>
      <c r="P84" s="368">
        <f t="shared" si="92"/>
        <v>0.42312039837472887</v>
      </c>
      <c r="Q84" s="239">
        <v>0</v>
      </c>
      <c r="R84" s="368">
        <f t="shared" si="93"/>
        <v>0</v>
      </c>
      <c r="S84" s="239">
        <v>36165</v>
      </c>
      <c r="T84" s="368">
        <f t="shared" si="94"/>
        <v>55.242415910548992</v>
      </c>
      <c r="U84" s="239">
        <v>158</v>
      </c>
      <c r="V84" s="368">
        <f t="shared" si="95"/>
        <v>0.24134665322457458</v>
      </c>
      <c r="W84" s="239">
        <v>0</v>
      </c>
      <c r="X84" s="368">
        <f t="shared" si="96"/>
        <v>0</v>
      </c>
      <c r="Y84" s="239">
        <v>11766</v>
      </c>
      <c r="Z84" s="368">
        <f t="shared" si="97"/>
        <v>17.972688112913573</v>
      </c>
      <c r="AA84" s="239">
        <v>88</v>
      </c>
      <c r="AB84" s="368">
        <f t="shared" si="98"/>
        <v>0.13442092078330736</v>
      </c>
      <c r="AC84" s="239">
        <v>7991</v>
      </c>
      <c r="AD84" s="368">
        <f t="shared" si="99"/>
        <v>12.206336113402378</v>
      </c>
    </row>
    <row r="85" spans="1:32" s="10" customFormat="1" ht="14.15" customHeight="1" thickBot="1">
      <c r="A85" s="912"/>
      <c r="B85" s="342">
        <v>23</v>
      </c>
      <c r="C85" s="342" t="s">
        <v>773</v>
      </c>
      <c r="D85" s="342">
        <v>3495</v>
      </c>
      <c r="E85" s="342">
        <v>4646</v>
      </c>
      <c r="F85" s="342">
        <v>0</v>
      </c>
      <c r="G85" s="342">
        <v>25025</v>
      </c>
      <c r="H85" s="247">
        <f t="shared" si="87"/>
        <v>25025</v>
      </c>
      <c r="I85" s="247">
        <f t="shared" si="88"/>
        <v>33166</v>
      </c>
      <c r="J85" s="247">
        <f t="shared" si="89"/>
        <v>8141</v>
      </c>
      <c r="K85" s="247">
        <v>0</v>
      </c>
      <c r="L85" s="369">
        <f t="shared" si="90"/>
        <v>0</v>
      </c>
      <c r="M85" s="247">
        <v>8037</v>
      </c>
      <c r="N85" s="369">
        <f t="shared" si="91"/>
        <v>24.232647892419948</v>
      </c>
      <c r="O85" s="247">
        <v>0</v>
      </c>
      <c r="P85" s="369">
        <f t="shared" si="92"/>
        <v>0</v>
      </c>
      <c r="Q85" s="247">
        <v>0</v>
      </c>
      <c r="R85" s="369">
        <f t="shared" si="93"/>
        <v>0</v>
      </c>
      <c r="S85" s="247">
        <v>24874</v>
      </c>
      <c r="T85" s="369">
        <f t="shared" si="94"/>
        <v>74.998492432008675</v>
      </c>
      <c r="U85" s="247">
        <v>0</v>
      </c>
      <c r="V85" s="369">
        <f t="shared" si="95"/>
        <v>0</v>
      </c>
      <c r="W85" s="247">
        <v>0</v>
      </c>
      <c r="X85" s="369">
        <f t="shared" si="96"/>
        <v>0</v>
      </c>
      <c r="Y85" s="247">
        <v>0</v>
      </c>
      <c r="Z85" s="369">
        <f t="shared" si="97"/>
        <v>0</v>
      </c>
      <c r="AA85" s="247">
        <v>0</v>
      </c>
      <c r="AB85" s="369">
        <f t="shared" si="98"/>
        <v>0</v>
      </c>
      <c r="AC85" s="247">
        <v>255</v>
      </c>
      <c r="AD85" s="369">
        <f t="shared" si="99"/>
        <v>0.76885967557136825</v>
      </c>
    </row>
    <row r="86" spans="1:32" s="343" customFormat="1" ht="14.15" customHeight="1" thickTop="1">
      <c r="A86" s="912"/>
      <c r="B86" s="252"/>
      <c r="C86" s="253" t="s">
        <v>34</v>
      </c>
      <c r="D86" s="259">
        <f t="shared" ref="D86:AC86" si="100">+SUM(D81:D85)</f>
        <v>64054</v>
      </c>
      <c r="E86" s="259">
        <f t="shared" si="100"/>
        <v>92452</v>
      </c>
      <c r="F86" s="259">
        <f t="shared" si="100"/>
        <v>1769</v>
      </c>
      <c r="G86" s="259">
        <f t="shared" si="100"/>
        <v>764913</v>
      </c>
      <c r="H86" s="259">
        <f t="shared" si="100"/>
        <v>766682</v>
      </c>
      <c r="I86" s="259">
        <f t="shared" si="100"/>
        <v>923188</v>
      </c>
      <c r="J86" s="259">
        <f t="shared" si="100"/>
        <v>158275</v>
      </c>
      <c r="K86" s="259">
        <f t="shared" si="100"/>
        <v>465</v>
      </c>
      <c r="L86" s="370">
        <f t="shared" si="90"/>
        <v>5.0368938937681171E-2</v>
      </c>
      <c r="M86" s="259">
        <f t="shared" si="100"/>
        <v>429630</v>
      </c>
      <c r="N86" s="370">
        <f t="shared" si="91"/>
        <v>46.537649969453675</v>
      </c>
      <c r="O86" s="259">
        <f t="shared" si="100"/>
        <v>7200</v>
      </c>
      <c r="P86" s="370">
        <f t="shared" si="92"/>
        <v>0.77990615129312779</v>
      </c>
      <c r="Q86" s="259">
        <f t="shared" si="100"/>
        <v>14568</v>
      </c>
      <c r="R86" s="370">
        <f t="shared" si="93"/>
        <v>1.5780101127830952</v>
      </c>
      <c r="S86" s="259">
        <f t="shared" si="100"/>
        <v>351460</v>
      </c>
      <c r="T86" s="370">
        <f t="shared" si="94"/>
        <v>38.070252212983704</v>
      </c>
      <c r="U86" s="259">
        <f t="shared" si="100"/>
        <v>158</v>
      </c>
      <c r="V86" s="370">
        <f t="shared" si="95"/>
        <v>1.7114607208932528E-2</v>
      </c>
      <c r="W86" s="259">
        <f t="shared" si="100"/>
        <v>0</v>
      </c>
      <c r="X86" s="370">
        <f t="shared" si="96"/>
        <v>0</v>
      </c>
      <c r="Y86" s="259">
        <f t="shared" si="100"/>
        <v>109752</v>
      </c>
      <c r="Z86" s="370">
        <f t="shared" si="97"/>
        <v>11.888369432878243</v>
      </c>
      <c r="AA86" s="259">
        <f t="shared" si="100"/>
        <v>1615</v>
      </c>
      <c r="AB86" s="370">
        <f t="shared" si="98"/>
        <v>0.17493728254700017</v>
      </c>
      <c r="AC86" s="259">
        <f t="shared" si="100"/>
        <v>8340</v>
      </c>
      <c r="AD86" s="370">
        <f t="shared" si="99"/>
        <v>0.90339129191453971</v>
      </c>
      <c r="AE86" s="10"/>
      <c r="AF86" s="10"/>
    </row>
    <row r="87" spans="1:32" s="343" customFormat="1" ht="14.15" customHeight="1">
      <c r="A87" s="912"/>
      <c r="B87" s="263"/>
      <c r="C87" s="264"/>
      <c r="D87" s="270"/>
      <c r="E87" s="270"/>
      <c r="F87" s="270"/>
      <c r="G87" s="270"/>
      <c r="H87" s="270"/>
      <c r="I87" s="270"/>
      <c r="J87" s="270"/>
      <c r="K87" s="270"/>
      <c r="L87" s="371"/>
      <c r="M87" s="270"/>
      <c r="N87" s="371"/>
      <c r="O87" s="270"/>
      <c r="P87" s="371"/>
      <c r="Q87" s="270"/>
      <c r="R87" s="371"/>
      <c r="S87" s="270"/>
      <c r="T87" s="371"/>
      <c r="U87" s="270"/>
      <c r="V87" s="371"/>
      <c r="W87" s="270"/>
      <c r="X87" s="371"/>
      <c r="Y87" s="270"/>
      <c r="Z87" s="371"/>
      <c r="AA87" s="270"/>
      <c r="AB87" s="371"/>
      <c r="AC87" s="270"/>
      <c r="AD87" s="371"/>
      <c r="AE87" s="10"/>
      <c r="AF87" s="10"/>
    </row>
    <row r="88" spans="1:32" s="343" customFormat="1" ht="14.15" customHeight="1">
      <c r="A88" s="796" t="s">
        <v>774</v>
      </c>
      <c r="B88" s="351"/>
      <c r="C88" s="352" t="s">
        <v>34</v>
      </c>
      <c r="D88" s="315">
        <f t="shared" ref="D88:K88" si="101">+D14+D19+D32+D42+D50+D53+D62+D68+D79+D86</f>
        <v>614945</v>
      </c>
      <c r="E88" s="315">
        <f t="shared" si="101"/>
        <v>1623704</v>
      </c>
      <c r="F88" s="315">
        <f t="shared" si="101"/>
        <v>884979</v>
      </c>
      <c r="G88" s="315">
        <f t="shared" si="101"/>
        <v>17240384</v>
      </c>
      <c r="H88" s="315">
        <f t="shared" si="101"/>
        <v>18125363</v>
      </c>
      <c r="I88" s="315">
        <f t="shared" si="101"/>
        <v>20364012</v>
      </c>
      <c r="J88" s="315">
        <f t="shared" si="101"/>
        <v>3123628</v>
      </c>
      <c r="K88" s="315">
        <f t="shared" si="101"/>
        <v>259579</v>
      </c>
      <c r="L88" s="375">
        <f>K88/$I88*100</f>
        <v>1.2746947900050343</v>
      </c>
      <c r="M88" s="315">
        <f>+M14+M19+M32+M42+M50+M53+M62+M68+M79+M86</f>
        <v>12455877</v>
      </c>
      <c r="N88" s="375">
        <f>M88/$I88*100</f>
        <v>61.166124828447366</v>
      </c>
      <c r="O88" s="315">
        <f>+O14+O19+O32+O42+O50+O53+O62+O68+O79+O86</f>
        <v>579111</v>
      </c>
      <c r="P88" s="375">
        <f>O88/$I88*100</f>
        <v>2.8437962028307586</v>
      </c>
      <c r="Q88" s="315">
        <f>+Q14+Q19+Q32+Q42+Q50+Q53+Q62+Q68+Q79+Q86</f>
        <v>111608</v>
      </c>
      <c r="R88" s="375">
        <f>Q88/$I88*100</f>
        <v>0.54806489016015114</v>
      </c>
      <c r="S88" s="315">
        <f>+S14+S19+S32+S42+S50+S53+S62+S68+S79+S86</f>
        <v>4252124</v>
      </c>
      <c r="T88" s="375">
        <f>S88/$I88*100</f>
        <v>20.880580899284482</v>
      </c>
      <c r="U88" s="315">
        <f>+U14+U19+U32+U42+U50+U53+U62+U68+U79+U86</f>
        <v>8140</v>
      </c>
      <c r="V88" s="375">
        <f>U88/$I88*100</f>
        <v>3.9972476936273656E-2</v>
      </c>
      <c r="W88" s="315">
        <f>+W14+W19+W32+W42+W50+W53+W62+W68+W79+W86</f>
        <v>0</v>
      </c>
      <c r="X88" s="375">
        <f>W88/$I88*100</f>
        <v>0</v>
      </c>
      <c r="Y88" s="315">
        <f>+Y14+Y19+Y32+Y42+Y50+Y53+Y62+Y68+Y79+Y86</f>
        <v>2300614</v>
      </c>
      <c r="Z88" s="375">
        <f>Y88/$I88*100</f>
        <v>11.297449638116497</v>
      </c>
      <c r="AA88" s="315">
        <f>+AA14+AA19+AA32+AA42+AA50+AA53+AA62+AA68+AA79+AA86</f>
        <v>38790</v>
      </c>
      <c r="AB88" s="375">
        <f>AA88/$I88*100</f>
        <v>0.19048309341008049</v>
      </c>
      <c r="AC88" s="315">
        <f>+AC14+AC19+AC32+AC42+AC50+AC53+AC62+AC68+AC79+AC86</f>
        <v>358169</v>
      </c>
      <c r="AD88" s="375">
        <f>AC88/$I88*100</f>
        <v>1.7588331808093611</v>
      </c>
      <c r="AE88" s="10"/>
      <c r="AF88" s="10"/>
    </row>
    <row r="89" spans="1:32" s="343" customFormat="1" ht="14.15" customHeight="1">
      <c r="L89" s="376"/>
      <c r="N89" s="376"/>
      <c r="P89" s="376"/>
      <c r="R89" s="376"/>
      <c r="T89" s="376"/>
      <c r="V89" s="376"/>
      <c r="X89" s="376"/>
      <c r="Z89" s="376"/>
      <c r="AB89" s="376"/>
      <c r="AD89" s="376"/>
    </row>
    <row r="90" spans="1:32" s="343" customFormat="1" ht="14.15" customHeight="1">
      <c r="L90" s="376"/>
      <c r="N90" s="376"/>
      <c r="P90" s="376"/>
      <c r="R90" s="376"/>
      <c r="T90" s="376"/>
      <c r="V90" s="376"/>
      <c r="X90" s="376"/>
      <c r="Z90" s="376"/>
      <c r="AB90" s="376"/>
      <c r="AD90" s="376"/>
    </row>
    <row r="91" spans="1:32" s="343" customFormat="1" ht="14.15" customHeight="1">
      <c r="L91" s="376"/>
      <c r="N91" s="376"/>
      <c r="P91" s="376"/>
      <c r="R91" s="376"/>
      <c r="T91" s="376"/>
      <c r="V91" s="376"/>
      <c r="X91" s="376"/>
      <c r="Z91" s="376"/>
      <c r="AB91" s="376"/>
      <c r="AD91" s="376"/>
    </row>
    <row r="92" spans="1:32" s="343" customFormat="1" ht="14.15" customHeight="1">
      <c r="L92" s="376"/>
      <c r="N92" s="376"/>
      <c r="P92" s="376"/>
      <c r="R92" s="376"/>
      <c r="T92" s="376"/>
      <c r="V92" s="376"/>
      <c r="X92" s="376"/>
      <c r="Z92" s="376"/>
      <c r="AB92" s="376"/>
      <c r="AD92" s="376"/>
    </row>
    <row r="93" spans="1:32" s="343" customFormat="1" ht="14.15" customHeight="1">
      <c r="L93" s="376"/>
      <c r="N93" s="376"/>
      <c r="P93" s="376"/>
      <c r="R93" s="376"/>
      <c r="T93" s="376"/>
      <c r="V93" s="376"/>
      <c r="X93" s="376"/>
      <c r="Z93" s="376"/>
      <c r="AB93" s="376"/>
      <c r="AD93" s="376"/>
    </row>
    <row r="94" spans="1:32" s="343" customFormat="1" ht="14.15" customHeight="1">
      <c r="L94" s="376"/>
      <c r="N94" s="376"/>
      <c r="P94" s="376"/>
      <c r="R94" s="376"/>
      <c r="T94" s="376"/>
      <c r="V94" s="376"/>
      <c r="X94" s="376"/>
      <c r="Z94" s="376"/>
      <c r="AB94" s="376"/>
      <c r="AD94" s="376"/>
    </row>
    <row r="95" spans="1:32" s="343" customFormat="1" ht="14.15" customHeight="1">
      <c r="L95" s="376"/>
      <c r="N95" s="376"/>
      <c r="P95" s="376"/>
      <c r="R95" s="376"/>
      <c r="T95" s="376"/>
      <c r="V95" s="376"/>
      <c r="X95" s="376"/>
      <c r="Z95" s="376"/>
      <c r="AB95" s="376"/>
      <c r="AD95" s="376"/>
    </row>
    <row r="96" spans="1:32" s="343" customFormat="1" ht="14.15" customHeight="1">
      <c r="L96" s="376"/>
      <c r="N96" s="376"/>
      <c r="P96" s="376"/>
      <c r="R96" s="376"/>
      <c r="T96" s="376"/>
      <c r="V96" s="376"/>
      <c r="X96" s="376"/>
      <c r="Z96" s="376"/>
      <c r="AB96" s="376"/>
      <c r="AD96" s="376"/>
    </row>
    <row r="97" spans="12:30" s="343" customFormat="1" ht="14.15" customHeight="1">
      <c r="L97" s="376"/>
      <c r="N97" s="376"/>
      <c r="P97" s="376"/>
      <c r="R97" s="376"/>
      <c r="T97" s="376"/>
      <c r="V97" s="376"/>
      <c r="X97" s="376"/>
      <c r="Z97" s="376"/>
      <c r="AB97" s="376"/>
      <c r="AD97" s="376"/>
    </row>
    <row r="98" spans="12:30" ht="14.15" customHeight="1"/>
    <row r="99" spans="12:30" ht="14.15" customHeight="1"/>
    <row r="100" spans="12:30" ht="14.15" customHeight="1"/>
    <row r="101" spans="12:30" ht="14.15" customHeight="1"/>
    <row r="102" spans="12:30" ht="14.15" customHeight="1"/>
    <row r="103" spans="12:30" ht="14.15" customHeight="1"/>
    <row r="104" spans="12:30" ht="14.15" customHeight="1"/>
    <row r="105" spans="12:30" ht="14.15" customHeight="1"/>
    <row r="106" spans="12:30" ht="14.15" customHeight="1"/>
    <row r="107" spans="12:30" ht="14.15" customHeight="1"/>
    <row r="108" spans="12:30" ht="14.15" customHeight="1"/>
    <row r="109" spans="12:30" ht="14.15" customHeight="1"/>
    <row r="110" spans="12:30" ht="14.15" customHeight="1"/>
    <row r="111" spans="12:30" ht="14.15" customHeight="1"/>
    <row r="112" spans="12:30" ht="14.15" customHeight="1"/>
    <row r="113" ht="14.15" customHeight="1"/>
    <row r="114" ht="14.15" customHeight="1"/>
    <row r="115" ht="14.15" customHeight="1"/>
    <row r="116" ht="14.15" customHeight="1"/>
    <row r="117" ht="14.15" customHeight="1"/>
    <row r="118" ht="14.15" customHeight="1"/>
    <row r="119" ht="14.15" customHeight="1"/>
    <row r="120" ht="14.15" customHeight="1"/>
    <row r="121" ht="14.15" customHeight="1"/>
    <row r="122" ht="14.15" customHeight="1"/>
    <row r="123" ht="14.15" customHeight="1"/>
    <row r="124" ht="14.15" customHeight="1"/>
    <row r="125" ht="14.15" customHeight="1"/>
    <row r="126" ht="14.15" customHeight="1"/>
    <row r="127" ht="14.15" customHeight="1"/>
    <row r="128" ht="14.15" customHeight="1"/>
    <row r="129" ht="14.15" customHeight="1"/>
    <row r="130" ht="14.15" customHeight="1"/>
    <row r="131" ht="14.15" customHeight="1"/>
    <row r="132" ht="14.15" customHeight="1"/>
    <row r="133" ht="14.15" customHeight="1"/>
    <row r="134" ht="14.15" customHeight="1"/>
    <row r="135" ht="14.15" customHeight="1"/>
    <row r="136" ht="14.15" customHeight="1"/>
    <row r="137" ht="14.15" customHeight="1"/>
    <row r="138" ht="14.15" customHeight="1"/>
    <row r="139" ht="14.15" customHeight="1"/>
    <row r="140" ht="14.15" customHeight="1"/>
    <row r="141" ht="14.15" customHeight="1"/>
    <row r="142" ht="14.15" customHeight="1"/>
    <row r="143" ht="14.15" customHeight="1"/>
    <row r="144" ht="14.15" customHeight="1"/>
    <row r="145" ht="14.15" customHeight="1"/>
    <row r="146" ht="14.15" customHeight="1"/>
    <row r="147" ht="14.15" customHeight="1"/>
    <row r="148" ht="14.15" customHeight="1"/>
    <row r="149" ht="14.15" customHeight="1"/>
    <row r="150" ht="14.15" customHeight="1"/>
    <row r="151" ht="14.15" customHeight="1"/>
    <row r="152" ht="14.15" customHeight="1"/>
    <row r="153" ht="14.15" customHeight="1"/>
    <row r="154" ht="14.15" customHeight="1"/>
    <row r="155" ht="14.15" customHeight="1"/>
    <row r="156" ht="14.15" customHeight="1"/>
    <row r="157" ht="14.15" customHeight="1"/>
    <row r="158" ht="14.15" customHeight="1"/>
    <row r="159" ht="14.15" customHeight="1"/>
    <row r="16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sheetData>
  <mergeCells count="30">
    <mergeCell ref="A70:A80"/>
    <mergeCell ref="A81:A87"/>
    <mergeCell ref="A21:A33"/>
    <mergeCell ref="A34:A43"/>
    <mergeCell ref="A44:A51"/>
    <mergeCell ref="A52:A54"/>
    <mergeCell ref="A55:A63"/>
    <mergeCell ref="A64:A69"/>
    <mergeCell ref="W4:X5"/>
    <mergeCell ref="Y4:Z5"/>
    <mergeCell ref="AA4:AB5"/>
    <mergeCell ref="AC4:AD5"/>
    <mergeCell ref="A7:A15"/>
    <mergeCell ref="A16:A20"/>
    <mergeCell ref="I3:I6"/>
    <mergeCell ref="K3:N3"/>
    <mergeCell ref="O3:AD3"/>
    <mergeCell ref="J4:J6"/>
    <mergeCell ref="K4:L5"/>
    <mergeCell ref="M4:N5"/>
    <mergeCell ref="O4:P5"/>
    <mergeCell ref="Q4:R5"/>
    <mergeCell ref="S4:T5"/>
    <mergeCell ref="U4:V5"/>
    <mergeCell ref="A3:A6"/>
    <mergeCell ref="B3:B6"/>
    <mergeCell ref="C3:C6"/>
    <mergeCell ref="D3:D6"/>
    <mergeCell ref="E3:E6"/>
    <mergeCell ref="F3:H5"/>
  </mergeCells>
  <phoneticPr fontId="6"/>
  <pageMargins left="0.77" right="0.19685039370078741" top="0.59055118110236227" bottom="0.6" header="0.51181102362204722" footer="0.15748031496062992"/>
  <pageSetup paperSize="9" scale="84" pageOrder="overThenDown" orientation="portrait" r:id="rId1"/>
  <headerFooter alignWithMargins="0"/>
  <rowBreaks count="1" manualBreakCount="1">
    <brk id="54" max="16383" man="1"/>
  </rowBreaks>
  <colBreaks count="1" manualBreakCount="1">
    <brk id="14" max="92"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D1EDEC-C34E-40C9-A7AB-DF535AD2408A}">
  <dimension ref="A1:AK206"/>
  <sheetViews>
    <sheetView zoomScale="80" zoomScaleNormal="80" workbookViewId="0">
      <pane xSplit="3" ySplit="7" topLeftCell="D8" activePane="bottomRight" state="frozen"/>
      <selection pane="topRight" activeCell="D1" sqref="D1"/>
      <selection pane="bottomLeft" activeCell="A8" sqref="A8"/>
      <selection pane="bottomRight"/>
    </sheetView>
  </sheetViews>
  <sheetFormatPr defaultRowHeight="11"/>
  <cols>
    <col min="1" max="1" width="5.6328125" style="150" customWidth="1"/>
    <col min="2" max="2" width="3" style="150" customWidth="1"/>
    <col min="3" max="3" width="15.36328125" style="150" customWidth="1"/>
    <col min="4" max="4" width="9.08984375" style="150" customWidth="1"/>
    <col min="5" max="5" width="7.08984375" style="150" customWidth="1"/>
    <col min="6" max="6" width="4.08984375" style="179" customWidth="1"/>
    <col min="7" max="7" width="7.08984375" style="150" customWidth="1"/>
    <col min="8" max="8" width="4.08984375" style="179" customWidth="1"/>
    <col min="9" max="9" width="7.08984375" style="179" customWidth="1"/>
    <col min="10" max="10" width="4.08984375" style="179" customWidth="1"/>
    <col min="11" max="11" width="7.08984375" style="179" customWidth="1"/>
    <col min="12" max="12" width="4.08984375" style="179" customWidth="1"/>
    <col min="13" max="13" width="7.08984375" style="179" customWidth="1"/>
    <col min="14" max="14" width="4.08984375" style="179" customWidth="1"/>
    <col min="15" max="15" width="7.08984375" style="179" customWidth="1"/>
    <col min="16" max="16" width="4.08984375" style="179" customWidth="1"/>
    <col min="17" max="17" width="7.08984375" style="179" customWidth="1"/>
    <col min="18" max="18" width="4.08984375" style="179" customWidth="1"/>
    <col min="19" max="19" width="7.08984375" style="179" customWidth="1"/>
    <col min="20" max="20" width="4.08984375" style="179" customWidth="1"/>
    <col min="21" max="21" width="9.08984375" style="150" customWidth="1"/>
    <col min="22" max="22" width="7.08984375" style="150" customWidth="1"/>
    <col min="23" max="23" width="4.26953125" style="179" customWidth="1"/>
    <col min="24" max="24" width="7.08984375" style="150" customWidth="1"/>
    <col min="25" max="25" width="4.08984375" style="179" customWidth="1"/>
    <col min="26" max="26" width="7.08984375" style="179" customWidth="1"/>
    <col min="27" max="27" width="4.08984375" style="179" customWidth="1"/>
    <col min="28" max="28" width="7.08984375" style="179" customWidth="1"/>
    <col min="29" max="29" width="4.08984375" style="179" customWidth="1"/>
    <col min="30" max="30" width="7.08984375" style="179" customWidth="1"/>
    <col min="31" max="31" width="4.08984375" style="179" customWidth="1"/>
    <col min="32" max="32" width="7.08984375" style="179" customWidth="1"/>
    <col min="33" max="33" width="4.08984375" style="179" customWidth="1"/>
    <col min="34" max="34" width="7.08984375" style="179" customWidth="1"/>
    <col min="35" max="35" width="4.08984375" style="179" customWidth="1"/>
    <col min="36" max="36" width="7.08984375" style="179" customWidth="1"/>
    <col min="37" max="37" width="4.08984375" style="179" customWidth="1"/>
    <col min="38" max="256" width="8.7265625" style="150"/>
    <col min="257" max="257" width="5.6328125" style="150" customWidth="1"/>
    <col min="258" max="258" width="3" style="150" customWidth="1"/>
    <col min="259" max="259" width="15.36328125" style="150" customWidth="1"/>
    <col min="260" max="260" width="9.08984375" style="150" customWidth="1"/>
    <col min="261" max="261" width="7.08984375" style="150" customWidth="1"/>
    <col min="262" max="262" width="4.08984375" style="150" customWidth="1"/>
    <col min="263" max="263" width="7.08984375" style="150" customWidth="1"/>
    <col min="264" max="264" width="4.08984375" style="150" customWidth="1"/>
    <col min="265" max="265" width="7.08984375" style="150" customWidth="1"/>
    <col min="266" max="266" width="4.08984375" style="150" customWidth="1"/>
    <col min="267" max="267" width="7.08984375" style="150" customWidth="1"/>
    <col min="268" max="268" width="4.08984375" style="150" customWidth="1"/>
    <col min="269" max="269" width="7.08984375" style="150" customWidth="1"/>
    <col min="270" max="270" width="4.08984375" style="150" customWidth="1"/>
    <col min="271" max="271" width="7.08984375" style="150" customWidth="1"/>
    <col min="272" max="272" width="4.08984375" style="150" customWidth="1"/>
    <col min="273" max="273" width="7.08984375" style="150" customWidth="1"/>
    <col min="274" max="274" width="4.08984375" style="150" customWidth="1"/>
    <col min="275" max="275" width="7.08984375" style="150" customWidth="1"/>
    <col min="276" max="276" width="4.08984375" style="150" customWidth="1"/>
    <col min="277" max="277" width="9.08984375" style="150" customWidth="1"/>
    <col min="278" max="278" width="7.08984375" style="150" customWidth="1"/>
    <col min="279" max="279" width="4.26953125" style="150" customWidth="1"/>
    <col min="280" max="280" width="7.08984375" style="150" customWidth="1"/>
    <col min="281" max="281" width="4.08984375" style="150" customWidth="1"/>
    <col min="282" max="282" width="7.08984375" style="150" customWidth="1"/>
    <col min="283" max="283" width="4.08984375" style="150" customWidth="1"/>
    <col min="284" max="284" width="7.08984375" style="150" customWidth="1"/>
    <col min="285" max="285" width="4.08984375" style="150" customWidth="1"/>
    <col min="286" max="286" width="7.08984375" style="150" customWidth="1"/>
    <col min="287" max="287" width="4.08984375" style="150" customWidth="1"/>
    <col min="288" max="288" width="7.08984375" style="150" customWidth="1"/>
    <col min="289" max="289" width="4.08984375" style="150" customWidth="1"/>
    <col min="290" max="290" width="7.08984375" style="150" customWidth="1"/>
    <col min="291" max="291" width="4.08984375" style="150" customWidth="1"/>
    <col min="292" max="292" width="7.08984375" style="150" customWidth="1"/>
    <col min="293" max="293" width="4.08984375" style="150" customWidth="1"/>
    <col min="294" max="512" width="8.7265625" style="150"/>
    <col min="513" max="513" width="5.6328125" style="150" customWidth="1"/>
    <col min="514" max="514" width="3" style="150" customWidth="1"/>
    <col min="515" max="515" width="15.36328125" style="150" customWidth="1"/>
    <col min="516" max="516" width="9.08984375" style="150" customWidth="1"/>
    <col min="517" max="517" width="7.08984375" style="150" customWidth="1"/>
    <col min="518" max="518" width="4.08984375" style="150" customWidth="1"/>
    <col min="519" max="519" width="7.08984375" style="150" customWidth="1"/>
    <col min="520" max="520" width="4.08984375" style="150" customWidth="1"/>
    <col min="521" max="521" width="7.08984375" style="150" customWidth="1"/>
    <col min="522" max="522" width="4.08984375" style="150" customWidth="1"/>
    <col min="523" max="523" width="7.08984375" style="150" customWidth="1"/>
    <col min="524" max="524" width="4.08984375" style="150" customWidth="1"/>
    <col min="525" max="525" width="7.08984375" style="150" customWidth="1"/>
    <col min="526" max="526" width="4.08984375" style="150" customWidth="1"/>
    <col min="527" max="527" width="7.08984375" style="150" customWidth="1"/>
    <col min="528" max="528" width="4.08984375" style="150" customWidth="1"/>
    <col min="529" max="529" width="7.08984375" style="150" customWidth="1"/>
    <col min="530" max="530" width="4.08984375" style="150" customWidth="1"/>
    <col min="531" max="531" width="7.08984375" style="150" customWidth="1"/>
    <col min="532" max="532" width="4.08984375" style="150" customWidth="1"/>
    <col min="533" max="533" width="9.08984375" style="150" customWidth="1"/>
    <col min="534" max="534" width="7.08984375" style="150" customWidth="1"/>
    <col min="535" max="535" width="4.26953125" style="150" customWidth="1"/>
    <col min="536" max="536" width="7.08984375" style="150" customWidth="1"/>
    <col min="537" max="537" width="4.08984375" style="150" customWidth="1"/>
    <col min="538" max="538" width="7.08984375" style="150" customWidth="1"/>
    <col min="539" max="539" width="4.08984375" style="150" customWidth="1"/>
    <col min="540" max="540" width="7.08984375" style="150" customWidth="1"/>
    <col min="541" max="541" width="4.08984375" style="150" customWidth="1"/>
    <col min="542" max="542" width="7.08984375" style="150" customWidth="1"/>
    <col min="543" max="543" width="4.08984375" style="150" customWidth="1"/>
    <col min="544" max="544" width="7.08984375" style="150" customWidth="1"/>
    <col min="545" max="545" width="4.08984375" style="150" customWidth="1"/>
    <col min="546" max="546" width="7.08984375" style="150" customWidth="1"/>
    <col min="547" max="547" width="4.08984375" style="150" customWidth="1"/>
    <col min="548" max="548" width="7.08984375" style="150" customWidth="1"/>
    <col min="549" max="549" width="4.08984375" style="150" customWidth="1"/>
    <col min="550" max="768" width="8.7265625" style="150"/>
    <col min="769" max="769" width="5.6328125" style="150" customWidth="1"/>
    <col min="770" max="770" width="3" style="150" customWidth="1"/>
    <col min="771" max="771" width="15.36328125" style="150" customWidth="1"/>
    <col min="772" max="772" width="9.08984375" style="150" customWidth="1"/>
    <col min="773" max="773" width="7.08984375" style="150" customWidth="1"/>
    <col min="774" max="774" width="4.08984375" style="150" customWidth="1"/>
    <col min="775" max="775" width="7.08984375" style="150" customWidth="1"/>
    <col min="776" max="776" width="4.08984375" style="150" customWidth="1"/>
    <col min="777" max="777" width="7.08984375" style="150" customWidth="1"/>
    <col min="778" max="778" width="4.08984375" style="150" customWidth="1"/>
    <col min="779" max="779" width="7.08984375" style="150" customWidth="1"/>
    <col min="780" max="780" width="4.08984375" style="150" customWidth="1"/>
    <col min="781" max="781" width="7.08984375" style="150" customWidth="1"/>
    <col min="782" max="782" width="4.08984375" style="150" customWidth="1"/>
    <col min="783" max="783" width="7.08984375" style="150" customWidth="1"/>
    <col min="784" max="784" width="4.08984375" style="150" customWidth="1"/>
    <col min="785" max="785" width="7.08984375" style="150" customWidth="1"/>
    <col min="786" max="786" width="4.08984375" style="150" customWidth="1"/>
    <col min="787" max="787" width="7.08984375" style="150" customWidth="1"/>
    <col min="788" max="788" width="4.08984375" style="150" customWidth="1"/>
    <col min="789" max="789" width="9.08984375" style="150" customWidth="1"/>
    <col min="790" max="790" width="7.08984375" style="150" customWidth="1"/>
    <col min="791" max="791" width="4.26953125" style="150" customWidth="1"/>
    <col min="792" max="792" width="7.08984375" style="150" customWidth="1"/>
    <col min="793" max="793" width="4.08984375" style="150" customWidth="1"/>
    <col min="794" max="794" width="7.08984375" style="150" customWidth="1"/>
    <col min="795" max="795" width="4.08984375" style="150" customWidth="1"/>
    <col min="796" max="796" width="7.08984375" style="150" customWidth="1"/>
    <col min="797" max="797" width="4.08984375" style="150" customWidth="1"/>
    <col min="798" max="798" width="7.08984375" style="150" customWidth="1"/>
    <col min="799" max="799" width="4.08984375" style="150" customWidth="1"/>
    <col min="800" max="800" width="7.08984375" style="150" customWidth="1"/>
    <col min="801" max="801" width="4.08984375" style="150" customWidth="1"/>
    <col min="802" max="802" width="7.08984375" style="150" customWidth="1"/>
    <col min="803" max="803" width="4.08984375" style="150" customWidth="1"/>
    <col min="804" max="804" width="7.08984375" style="150" customWidth="1"/>
    <col min="805" max="805" width="4.08984375" style="150" customWidth="1"/>
    <col min="806" max="1024" width="8.7265625" style="150"/>
    <col min="1025" max="1025" width="5.6328125" style="150" customWidth="1"/>
    <col min="1026" max="1026" width="3" style="150" customWidth="1"/>
    <col min="1027" max="1027" width="15.36328125" style="150" customWidth="1"/>
    <col min="1028" max="1028" width="9.08984375" style="150" customWidth="1"/>
    <col min="1029" max="1029" width="7.08984375" style="150" customWidth="1"/>
    <col min="1030" max="1030" width="4.08984375" style="150" customWidth="1"/>
    <col min="1031" max="1031" width="7.08984375" style="150" customWidth="1"/>
    <col min="1032" max="1032" width="4.08984375" style="150" customWidth="1"/>
    <col min="1033" max="1033" width="7.08984375" style="150" customWidth="1"/>
    <col min="1034" max="1034" width="4.08984375" style="150" customWidth="1"/>
    <col min="1035" max="1035" width="7.08984375" style="150" customWidth="1"/>
    <col min="1036" max="1036" width="4.08984375" style="150" customWidth="1"/>
    <col min="1037" max="1037" width="7.08984375" style="150" customWidth="1"/>
    <col min="1038" max="1038" width="4.08984375" style="150" customWidth="1"/>
    <col min="1039" max="1039" width="7.08984375" style="150" customWidth="1"/>
    <col min="1040" max="1040" width="4.08984375" style="150" customWidth="1"/>
    <col min="1041" max="1041" width="7.08984375" style="150" customWidth="1"/>
    <col min="1042" max="1042" width="4.08984375" style="150" customWidth="1"/>
    <col min="1043" max="1043" width="7.08984375" style="150" customWidth="1"/>
    <col min="1044" max="1044" width="4.08984375" style="150" customWidth="1"/>
    <col min="1045" max="1045" width="9.08984375" style="150" customWidth="1"/>
    <col min="1046" max="1046" width="7.08984375" style="150" customWidth="1"/>
    <col min="1047" max="1047" width="4.26953125" style="150" customWidth="1"/>
    <col min="1048" max="1048" width="7.08984375" style="150" customWidth="1"/>
    <col min="1049" max="1049" width="4.08984375" style="150" customWidth="1"/>
    <col min="1050" max="1050" width="7.08984375" style="150" customWidth="1"/>
    <col min="1051" max="1051" width="4.08984375" style="150" customWidth="1"/>
    <col min="1052" max="1052" width="7.08984375" style="150" customWidth="1"/>
    <col min="1053" max="1053" width="4.08984375" style="150" customWidth="1"/>
    <col min="1054" max="1054" width="7.08984375" style="150" customWidth="1"/>
    <col min="1055" max="1055" width="4.08984375" style="150" customWidth="1"/>
    <col min="1056" max="1056" width="7.08984375" style="150" customWidth="1"/>
    <col min="1057" max="1057" width="4.08984375" style="150" customWidth="1"/>
    <col min="1058" max="1058" width="7.08984375" style="150" customWidth="1"/>
    <col min="1059" max="1059" width="4.08984375" style="150" customWidth="1"/>
    <col min="1060" max="1060" width="7.08984375" style="150" customWidth="1"/>
    <col min="1061" max="1061" width="4.08984375" style="150" customWidth="1"/>
    <col min="1062" max="1280" width="8.7265625" style="150"/>
    <col min="1281" max="1281" width="5.6328125" style="150" customWidth="1"/>
    <col min="1282" max="1282" width="3" style="150" customWidth="1"/>
    <col min="1283" max="1283" width="15.36328125" style="150" customWidth="1"/>
    <col min="1284" max="1284" width="9.08984375" style="150" customWidth="1"/>
    <col min="1285" max="1285" width="7.08984375" style="150" customWidth="1"/>
    <col min="1286" max="1286" width="4.08984375" style="150" customWidth="1"/>
    <col min="1287" max="1287" width="7.08984375" style="150" customWidth="1"/>
    <col min="1288" max="1288" width="4.08984375" style="150" customWidth="1"/>
    <col min="1289" max="1289" width="7.08984375" style="150" customWidth="1"/>
    <col min="1290" max="1290" width="4.08984375" style="150" customWidth="1"/>
    <col min="1291" max="1291" width="7.08984375" style="150" customWidth="1"/>
    <col min="1292" max="1292" width="4.08984375" style="150" customWidth="1"/>
    <col min="1293" max="1293" width="7.08984375" style="150" customWidth="1"/>
    <col min="1294" max="1294" width="4.08984375" style="150" customWidth="1"/>
    <col min="1295" max="1295" width="7.08984375" style="150" customWidth="1"/>
    <col min="1296" max="1296" width="4.08984375" style="150" customWidth="1"/>
    <col min="1297" max="1297" width="7.08984375" style="150" customWidth="1"/>
    <col min="1298" max="1298" width="4.08984375" style="150" customWidth="1"/>
    <col min="1299" max="1299" width="7.08984375" style="150" customWidth="1"/>
    <col min="1300" max="1300" width="4.08984375" style="150" customWidth="1"/>
    <col min="1301" max="1301" width="9.08984375" style="150" customWidth="1"/>
    <col min="1302" max="1302" width="7.08984375" style="150" customWidth="1"/>
    <col min="1303" max="1303" width="4.26953125" style="150" customWidth="1"/>
    <col min="1304" max="1304" width="7.08984375" style="150" customWidth="1"/>
    <col min="1305" max="1305" width="4.08984375" style="150" customWidth="1"/>
    <col min="1306" max="1306" width="7.08984375" style="150" customWidth="1"/>
    <col min="1307" max="1307" width="4.08984375" style="150" customWidth="1"/>
    <col min="1308" max="1308" width="7.08984375" style="150" customWidth="1"/>
    <col min="1309" max="1309" width="4.08984375" style="150" customWidth="1"/>
    <col min="1310" max="1310" width="7.08984375" style="150" customWidth="1"/>
    <col min="1311" max="1311" width="4.08984375" style="150" customWidth="1"/>
    <col min="1312" max="1312" width="7.08984375" style="150" customWidth="1"/>
    <col min="1313" max="1313" width="4.08984375" style="150" customWidth="1"/>
    <col min="1314" max="1314" width="7.08984375" style="150" customWidth="1"/>
    <col min="1315" max="1315" width="4.08984375" style="150" customWidth="1"/>
    <col min="1316" max="1316" width="7.08984375" style="150" customWidth="1"/>
    <col min="1317" max="1317" width="4.08984375" style="150" customWidth="1"/>
    <col min="1318" max="1536" width="8.7265625" style="150"/>
    <col min="1537" max="1537" width="5.6328125" style="150" customWidth="1"/>
    <col min="1538" max="1538" width="3" style="150" customWidth="1"/>
    <col min="1539" max="1539" width="15.36328125" style="150" customWidth="1"/>
    <col min="1540" max="1540" width="9.08984375" style="150" customWidth="1"/>
    <col min="1541" max="1541" width="7.08984375" style="150" customWidth="1"/>
    <col min="1542" max="1542" width="4.08984375" style="150" customWidth="1"/>
    <col min="1543" max="1543" width="7.08984375" style="150" customWidth="1"/>
    <col min="1544" max="1544" width="4.08984375" style="150" customWidth="1"/>
    <col min="1545" max="1545" width="7.08984375" style="150" customWidth="1"/>
    <col min="1546" max="1546" width="4.08984375" style="150" customWidth="1"/>
    <col min="1547" max="1547" width="7.08984375" style="150" customWidth="1"/>
    <col min="1548" max="1548" width="4.08984375" style="150" customWidth="1"/>
    <col min="1549" max="1549" width="7.08984375" style="150" customWidth="1"/>
    <col min="1550" max="1550" width="4.08984375" style="150" customWidth="1"/>
    <col min="1551" max="1551" width="7.08984375" style="150" customWidth="1"/>
    <col min="1552" max="1552" width="4.08984375" style="150" customWidth="1"/>
    <col min="1553" max="1553" width="7.08984375" style="150" customWidth="1"/>
    <col min="1554" max="1554" width="4.08984375" style="150" customWidth="1"/>
    <col min="1555" max="1555" width="7.08984375" style="150" customWidth="1"/>
    <col min="1556" max="1556" width="4.08984375" style="150" customWidth="1"/>
    <col min="1557" max="1557" width="9.08984375" style="150" customWidth="1"/>
    <col min="1558" max="1558" width="7.08984375" style="150" customWidth="1"/>
    <col min="1559" max="1559" width="4.26953125" style="150" customWidth="1"/>
    <col min="1560" max="1560" width="7.08984375" style="150" customWidth="1"/>
    <col min="1561" max="1561" width="4.08984375" style="150" customWidth="1"/>
    <col min="1562" max="1562" width="7.08984375" style="150" customWidth="1"/>
    <col min="1563" max="1563" width="4.08984375" style="150" customWidth="1"/>
    <col min="1564" max="1564" width="7.08984375" style="150" customWidth="1"/>
    <col min="1565" max="1565" width="4.08984375" style="150" customWidth="1"/>
    <col min="1566" max="1566" width="7.08984375" style="150" customWidth="1"/>
    <col min="1567" max="1567" width="4.08984375" style="150" customWidth="1"/>
    <col min="1568" max="1568" width="7.08984375" style="150" customWidth="1"/>
    <col min="1569" max="1569" width="4.08984375" style="150" customWidth="1"/>
    <col min="1570" max="1570" width="7.08984375" style="150" customWidth="1"/>
    <col min="1571" max="1571" width="4.08984375" style="150" customWidth="1"/>
    <col min="1572" max="1572" width="7.08984375" style="150" customWidth="1"/>
    <col min="1573" max="1573" width="4.08984375" style="150" customWidth="1"/>
    <col min="1574" max="1792" width="8.7265625" style="150"/>
    <col min="1793" max="1793" width="5.6328125" style="150" customWidth="1"/>
    <col min="1794" max="1794" width="3" style="150" customWidth="1"/>
    <col min="1795" max="1795" width="15.36328125" style="150" customWidth="1"/>
    <col min="1796" max="1796" width="9.08984375" style="150" customWidth="1"/>
    <col min="1797" max="1797" width="7.08984375" style="150" customWidth="1"/>
    <col min="1798" max="1798" width="4.08984375" style="150" customWidth="1"/>
    <col min="1799" max="1799" width="7.08984375" style="150" customWidth="1"/>
    <col min="1800" max="1800" width="4.08984375" style="150" customWidth="1"/>
    <col min="1801" max="1801" width="7.08984375" style="150" customWidth="1"/>
    <col min="1802" max="1802" width="4.08984375" style="150" customWidth="1"/>
    <col min="1803" max="1803" width="7.08984375" style="150" customWidth="1"/>
    <col min="1804" max="1804" width="4.08984375" style="150" customWidth="1"/>
    <col min="1805" max="1805" width="7.08984375" style="150" customWidth="1"/>
    <col min="1806" max="1806" width="4.08984375" style="150" customWidth="1"/>
    <col min="1807" max="1807" width="7.08984375" style="150" customWidth="1"/>
    <col min="1808" max="1808" width="4.08984375" style="150" customWidth="1"/>
    <col min="1809" max="1809" width="7.08984375" style="150" customWidth="1"/>
    <col min="1810" max="1810" width="4.08984375" style="150" customWidth="1"/>
    <col min="1811" max="1811" width="7.08984375" style="150" customWidth="1"/>
    <col min="1812" max="1812" width="4.08984375" style="150" customWidth="1"/>
    <col min="1813" max="1813" width="9.08984375" style="150" customWidth="1"/>
    <col min="1814" max="1814" width="7.08984375" style="150" customWidth="1"/>
    <col min="1815" max="1815" width="4.26953125" style="150" customWidth="1"/>
    <col min="1816" max="1816" width="7.08984375" style="150" customWidth="1"/>
    <col min="1817" max="1817" width="4.08984375" style="150" customWidth="1"/>
    <col min="1818" max="1818" width="7.08984375" style="150" customWidth="1"/>
    <col min="1819" max="1819" width="4.08984375" style="150" customWidth="1"/>
    <col min="1820" max="1820" width="7.08984375" style="150" customWidth="1"/>
    <col min="1821" max="1821" width="4.08984375" style="150" customWidth="1"/>
    <col min="1822" max="1822" width="7.08984375" style="150" customWidth="1"/>
    <col min="1823" max="1823" width="4.08984375" style="150" customWidth="1"/>
    <col min="1824" max="1824" width="7.08984375" style="150" customWidth="1"/>
    <col min="1825" max="1825" width="4.08984375" style="150" customWidth="1"/>
    <col min="1826" max="1826" width="7.08984375" style="150" customWidth="1"/>
    <col min="1827" max="1827" width="4.08984375" style="150" customWidth="1"/>
    <col min="1828" max="1828" width="7.08984375" style="150" customWidth="1"/>
    <col min="1829" max="1829" width="4.08984375" style="150" customWidth="1"/>
    <col min="1830" max="2048" width="8.7265625" style="150"/>
    <col min="2049" max="2049" width="5.6328125" style="150" customWidth="1"/>
    <col min="2050" max="2050" width="3" style="150" customWidth="1"/>
    <col min="2051" max="2051" width="15.36328125" style="150" customWidth="1"/>
    <col min="2052" max="2052" width="9.08984375" style="150" customWidth="1"/>
    <col min="2053" max="2053" width="7.08984375" style="150" customWidth="1"/>
    <col min="2054" max="2054" width="4.08984375" style="150" customWidth="1"/>
    <col min="2055" max="2055" width="7.08984375" style="150" customWidth="1"/>
    <col min="2056" max="2056" width="4.08984375" style="150" customWidth="1"/>
    <col min="2057" max="2057" width="7.08984375" style="150" customWidth="1"/>
    <col min="2058" max="2058" width="4.08984375" style="150" customWidth="1"/>
    <col min="2059" max="2059" width="7.08984375" style="150" customWidth="1"/>
    <col min="2060" max="2060" width="4.08984375" style="150" customWidth="1"/>
    <col min="2061" max="2061" width="7.08984375" style="150" customWidth="1"/>
    <col min="2062" max="2062" width="4.08984375" style="150" customWidth="1"/>
    <col min="2063" max="2063" width="7.08984375" style="150" customWidth="1"/>
    <col min="2064" max="2064" width="4.08984375" style="150" customWidth="1"/>
    <col min="2065" max="2065" width="7.08984375" style="150" customWidth="1"/>
    <col min="2066" max="2066" width="4.08984375" style="150" customWidth="1"/>
    <col min="2067" max="2067" width="7.08984375" style="150" customWidth="1"/>
    <col min="2068" max="2068" width="4.08984375" style="150" customWidth="1"/>
    <col min="2069" max="2069" width="9.08984375" style="150" customWidth="1"/>
    <col min="2070" max="2070" width="7.08984375" style="150" customWidth="1"/>
    <col min="2071" max="2071" width="4.26953125" style="150" customWidth="1"/>
    <col min="2072" max="2072" width="7.08984375" style="150" customWidth="1"/>
    <col min="2073" max="2073" width="4.08984375" style="150" customWidth="1"/>
    <col min="2074" max="2074" width="7.08984375" style="150" customWidth="1"/>
    <col min="2075" max="2075" width="4.08984375" style="150" customWidth="1"/>
    <col min="2076" max="2076" width="7.08984375" style="150" customWidth="1"/>
    <col min="2077" max="2077" width="4.08984375" style="150" customWidth="1"/>
    <col min="2078" max="2078" width="7.08984375" style="150" customWidth="1"/>
    <col min="2079" max="2079" width="4.08984375" style="150" customWidth="1"/>
    <col min="2080" max="2080" width="7.08984375" style="150" customWidth="1"/>
    <col min="2081" max="2081" width="4.08984375" style="150" customWidth="1"/>
    <col min="2082" max="2082" width="7.08984375" style="150" customWidth="1"/>
    <col min="2083" max="2083" width="4.08984375" style="150" customWidth="1"/>
    <col min="2084" max="2084" width="7.08984375" style="150" customWidth="1"/>
    <col min="2085" max="2085" width="4.08984375" style="150" customWidth="1"/>
    <col min="2086" max="2304" width="8.7265625" style="150"/>
    <col min="2305" max="2305" width="5.6328125" style="150" customWidth="1"/>
    <col min="2306" max="2306" width="3" style="150" customWidth="1"/>
    <col min="2307" max="2307" width="15.36328125" style="150" customWidth="1"/>
    <col min="2308" max="2308" width="9.08984375" style="150" customWidth="1"/>
    <col min="2309" max="2309" width="7.08984375" style="150" customWidth="1"/>
    <col min="2310" max="2310" width="4.08984375" style="150" customWidth="1"/>
    <col min="2311" max="2311" width="7.08984375" style="150" customWidth="1"/>
    <col min="2312" max="2312" width="4.08984375" style="150" customWidth="1"/>
    <col min="2313" max="2313" width="7.08984375" style="150" customWidth="1"/>
    <col min="2314" max="2314" width="4.08984375" style="150" customWidth="1"/>
    <col min="2315" max="2315" width="7.08984375" style="150" customWidth="1"/>
    <col min="2316" max="2316" width="4.08984375" style="150" customWidth="1"/>
    <col min="2317" max="2317" width="7.08984375" style="150" customWidth="1"/>
    <col min="2318" max="2318" width="4.08984375" style="150" customWidth="1"/>
    <col min="2319" max="2319" width="7.08984375" style="150" customWidth="1"/>
    <col min="2320" max="2320" width="4.08984375" style="150" customWidth="1"/>
    <col min="2321" max="2321" width="7.08984375" style="150" customWidth="1"/>
    <col min="2322" max="2322" width="4.08984375" style="150" customWidth="1"/>
    <col min="2323" max="2323" width="7.08984375" style="150" customWidth="1"/>
    <col min="2324" max="2324" width="4.08984375" style="150" customWidth="1"/>
    <col min="2325" max="2325" width="9.08984375" style="150" customWidth="1"/>
    <col min="2326" max="2326" width="7.08984375" style="150" customWidth="1"/>
    <col min="2327" max="2327" width="4.26953125" style="150" customWidth="1"/>
    <col min="2328" max="2328" width="7.08984375" style="150" customWidth="1"/>
    <col min="2329" max="2329" width="4.08984375" style="150" customWidth="1"/>
    <col min="2330" max="2330" width="7.08984375" style="150" customWidth="1"/>
    <col min="2331" max="2331" width="4.08984375" style="150" customWidth="1"/>
    <col min="2332" max="2332" width="7.08984375" style="150" customWidth="1"/>
    <col min="2333" max="2333" width="4.08984375" style="150" customWidth="1"/>
    <col min="2334" max="2334" width="7.08984375" style="150" customWidth="1"/>
    <col min="2335" max="2335" width="4.08984375" style="150" customWidth="1"/>
    <col min="2336" max="2336" width="7.08984375" style="150" customWidth="1"/>
    <col min="2337" max="2337" width="4.08984375" style="150" customWidth="1"/>
    <col min="2338" max="2338" width="7.08984375" style="150" customWidth="1"/>
    <col min="2339" max="2339" width="4.08984375" style="150" customWidth="1"/>
    <col min="2340" max="2340" width="7.08984375" style="150" customWidth="1"/>
    <col min="2341" max="2341" width="4.08984375" style="150" customWidth="1"/>
    <col min="2342" max="2560" width="8.7265625" style="150"/>
    <col min="2561" max="2561" width="5.6328125" style="150" customWidth="1"/>
    <col min="2562" max="2562" width="3" style="150" customWidth="1"/>
    <col min="2563" max="2563" width="15.36328125" style="150" customWidth="1"/>
    <col min="2564" max="2564" width="9.08984375" style="150" customWidth="1"/>
    <col min="2565" max="2565" width="7.08984375" style="150" customWidth="1"/>
    <col min="2566" max="2566" width="4.08984375" style="150" customWidth="1"/>
    <col min="2567" max="2567" width="7.08984375" style="150" customWidth="1"/>
    <col min="2568" max="2568" width="4.08984375" style="150" customWidth="1"/>
    <col min="2569" max="2569" width="7.08984375" style="150" customWidth="1"/>
    <col min="2570" max="2570" width="4.08984375" style="150" customWidth="1"/>
    <col min="2571" max="2571" width="7.08984375" style="150" customWidth="1"/>
    <col min="2572" max="2572" width="4.08984375" style="150" customWidth="1"/>
    <col min="2573" max="2573" width="7.08984375" style="150" customWidth="1"/>
    <col min="2574" max="2574" width="4.08984375" style="150" customWidth="1"/>
    <col min="2575" max="2575" width="7.08984375" style="150" customWidth="1"/>
    <col min="2576" max="2576" width="4.08984375" style="150" customWidth="1"/>
    <col min="2577" max="2577" width="7.08984375" style="150" customWidth="1"/>
    <col min="2578" max="2578" width="4.08984375" style="150" customWidth="1"/>
    <col min="2579" max="2579" width="7.08984375" style="150" customWidth="1"/>
    <col min="2580" max="2580" width="4.08984375" style="150" customWidth="1"/>
    <col min="2581" max="2581" width="9.08984375" style="150" customWidth="1"/>
    <col min="2582" max="2582" width="7.08984375" style="150" customWidth="1"/>
    <col min="2583" max="2583" width="4.26953125" style="150" customWidth="1"/>
    <col min="2584" max="2584" width="7.08984375" style="150" customWidth="1"/>
    <col min="2585" max="2585" width="4.08984375" style="150" customWidth="1"/>
    <col min="2586" max="2586" width="7.08984375" style="150" customWidth="1"/>
    <col min="2587" max="2587" width="4.08984375" style="150" customWidth="1"/>
    <col min="2588" max="2588" width="7.08984375" style="150" customWidth="1"/>
    <col min="2589" max="2589" width="4.08984375" style="150" customWidth="1"/>
    <col min="2590" max="2590" width="7.08984375" style="150" customWidth="1"/>
    <col min="2591" max="2591" width="4.08984375" style="150" customWidth="1"/>
    <col min="2592" max="2592" width="7.08984375" style="150" customWidth="1"/>
    <col min="2593" max="2593" width="4.08984375" style="150" customWidth="1"/>
    <col min="2594" max="2594" width="7.08984375" style="150" customWidth="1"/>
    <col min="2595" max="2595" width="4.08984375" style="150" customWidth="1"/>
    <col min="2596" max="2596" width="7.08984375" style="150" customWidth="1"/>
    <col min="2597" max="2597" width="4.08984375" style="150" customWidth="1"/>
    <col min="2598" max="2816" width="8.7265625" style="150"/>
    <col min="2817" max="2817" width="5.6328125" style="150" customWidth="1"/>
    <col min="2818" max="2818" width="3" style="150" customWidth="1"/>
    <col min="2819" max="2819" width="15.36328125" style="150" customWidth="1"/>
    <col min="2820" max="2820" width="9.08984375" style="150" customWidth="1"/>
    <col min="2821" max="2821" width="7.08984375" style="150" customWidth="1"/>
    <col min="2822" max="2822" width="4.08984375" style="150" customWidth="1"/>
    <col min="2823" max="2823" width="7.08984375" style="150" customWidth="1"/>
    <col min="2824" max="2824" width="4.08984375" style="150" customWidth="1"/>
    <col min="2825" max="2825" width="7.08984375" style="150" customWidth="1"/>
    <col min="2826" max="2826" width="4.08984375" style="150" customWidth="1"/>
    <col min="2827" max="2827" width="7.08984375" style="150" customWidth="1"/>
    <col min="2828" max="2828" width="4.08984375" style="150" customWidth="1"/>
    <col min="2829" max="2829" width="7.08984375" style="150" customWidth="1"/>
    <col min="2830" max="2830" width="4.08984375" style="150" customWidth="1"/>
    <col min="2831" max="2831" width="7.08984375" style="150" customWidth="1"/>
    <col min="2832" max="2832" width="4.08984375" style="150" customWidth="1"/>
    <col min="2833" max="2833" width="7.08984375" style="150" customWidth="1"/>
    <col min="2834" max="2834" width="4.08984375" style="150" customWidth="1"/>
    <col min="2835" max="2835" width="7.08984375" style="150" customWidth="1"/>
    <col min="2836" max="2836" width="4.08984375" style="150" customWidth="1"/>
    <col min="2837" max="2837" width="9.08984375" style="150" customWidth="1"/>
    <col min="2838" max="2838" width="7.08984375" style="150" customWidth="1"/>
    <col min="2839" max="2839" width="4.26953125" style="150" customWidth="1"/>
    <col min="2840" max="2840" width="7.08984375" style="150" customWidth="1"/>
    <col min="2841" max="2841" width="4.08984375" style="150" customWidth="1"/>
    <col min="2842" max="2842" width="7.08984375" style="150" customWidth="1"/>
    <col min="2843" max="2843" width="4.08984375" style="150" customWidth="1"/>
    <col min="2844" max="2844" width="7.08984375" style="150" customWidth="1"/>
    <col min="2845" max="2845" width="4.08984375" style="150" customWidth="1"/>
    <col min="2846" max="2846" width="7.08984375" style="150" customWidth="1"/>
    <col min="2847" max="2847" width="4.08984375" style="150" customWidth="1"/>
    <col min="2848" max="2848" width="7.08984375" style="150" customWidth="1"/>
    <col min="2849" max="2849" width="4.08984375" style="150" customWidth="1"/>
    <col min="2850" max="2850" width="7.08984375" style="150" customWidth="1"/>
    <col min="2851" max="2851" width="4.08984375" style="150" customWidth="1"/>
    <col min="2852" max="2852" width="7.08984375" style="150" customWidth="1"/>
    <col min="2853" max="2853" width="4.08984375" style="150" customWidth="1"/>
    <col min="2854" max="3072" width="8.7265625" style="150"/>
    <col min="3073" max="3073" width="5.6328125" style="150" customWidth="1"/>
    <col min="3074" max="3074" width="3" style="150" customWidth="1"/>
    <col min="3075" max="3075" width="15.36328125" style="150" customWidth="1"/>
    <col min="3076" max="3076" width="9.08984375" style="150" customWidth="1"/>
    <col min="3077" max="3077" width="7.08984375" style="150" customWidth="1"/>
    <col min="3078" max="3078" width="4.08984375" style="150" customWidth="1"/>
    <col min="3079" max="3079" width="7.08984375" style="150" customWidth="1"/>
    <col min="3080" max="3080" width="4.08984375" style="150" customWidth="1"/>
    <col min="3081" max="3081" width="7.08984375" style="150" customWidth="1"/>
    <col min="3082" max="3082" width="4.08984375" style="150" customWidth="1"/>
    <col min="3083" max="3083" width="7.08984375" style="150" customWidth="1"/>
    <col min="3084" max="3084" width="4.08984375" style="150" customWidth="1"/>
    <col min="3085" max="3085" width="7.08984375" style="150" customWidth="1"/>
    <col min="3086" max="3086" width="4.08984375" style="150" customWidth="1"/>
    <col min="3087" max="3087" width="7.08984375" style="150" customWidth="1"/>
    <col min="3088" max="3088" width="4.08984375" style="150" customWidth="1"/>
    <col min="3089" max="3089" width="7.08984375" style="150" customWidth="1"/>
    <col min="3090" max="3090" width="4.08984375" style="150" customWidth="1"/>
    <col min="3091" max="3091" width="7.08984375" style="150" customWidth="1"/>
    <col min="3092" max="3092" width="4.08984375" style="150" customWidth="1"/>
    <col min="3093" max="3093" width="9.08984375" style="150" customWidth="1"/>
    <col min="3094" max="3094" width="7.08984375" style="150" customWidth="1"/>
    <col min="3095" max="3095" width="4.26953125" style="150" customWidth="1"/>
    <col min="3096" max="3096" width="7.08984375" style="150" customWidth="1"/>
    <col min="3097" max="3097" width="4.08984375" style="150" customWidth="1"/>
    <col min="3098" max="3098" width="7.08984375" style="150" customWidth="1"/>
    <col min="3099" max="3099" width="4.08984375" style="150" customWidth="1"/>
    <col min="3100" max="3100" width="7.08984375" style="150" customWidth="1"/>
    <col min="3101" max="3101" width="4.08984375" style="150" customWidth="1"/>
    <col min="3102" max="3102" width="7.08984375" style="150" customWidth="1"/>
    <col min="3103" max="3103" width="4.08984375" style="150" customWidth="1"/>
    <col min="3104" max="3104" width="7.08984375" style="150" customWidth="1"/>
    <col min="3105" max="3105" width="4.08984375" style="150" customWidth="1"/>
    <col min="3106" max="3106" width="7.08984375" style="150" customWidth="1"/>
    <col min="3107" max="3107" width="4.08984375" style="150" customWidth="1"/>
    <col min="3108" max="3108" width="7.08984375" style="150" customWidth="1"/>
    <col min="3109" max="3109" width="4.08984375" style="150" customWidth="1"/>
    <col min="3110" max="3328" width="8.7265625" style="150"/>
    <col min="3329" max="3329" width="5.6328125" style="150" customWidth="1"/>
    <col min="3330" max="3330" width="3" style="150" customWidth="1"/>
    <col min="3331" max="3331" width="15.36328125" style="150" customWidth="1"/>
    <col min="3332" max="3332" width="9.08984375" style="150" customWidth="1"/>
    <col min="3333" max="3333" width="7.08984375" style="150" customWidth="1"/>
    <col min="3334" max="3334" width="4.08984375" style="150" customWidth="1"/>
    <col min="3335" max="3335" width="7.08984375" style="150" customWidth="1"/>
    <col min="3336" max="3336" width="4.08984375" style="150" customWidth="1"/>
    <col min="3337" max="3337" width="7.08984375" style="150" customWidth="1"/>
    <col min="3338" max="3338" width="4.08984375" style="150" customWidth="1"/>
    <col min="3339" max="3339" width="7.08984375" style="150" customWidth="1"/>
    <col min="3340" max="3340" width="4.08984375" style="150" customWidth="1"/>
    <col min="3341" max="3341" width="7.08984375" style="150" customWidth="1"/>
    <col min="3342" max="3342" width="4.08984375" style="150" customWidth="1"/>
    <col min="3343" max="3343" width="7.08984375" style="150" customWidth="1"/>
    <col min="3344" max="3344" width="4.08984375" style="150" customWidth="1"/>
    <col min="3345" max="3345" width="7.08984375" style="150" customWidth="1"/>
    <col min="3346" max="3346" width="4.08984375" style="150" customWidth="1"/>
    <col min="3347" max="3347" width="7.08984375" style="150" customWidth="1"/>
    <col min="3348" max="3348" width="4.08984375" style="150" customWidth="1"/>
    <col min="3349" max="3349" width="9.08984375" style="150" customWidth="1"/>
    <col min="3350" max="3350" width="7.08984375" style="150" customWidth="1"/>
    <col min="3351" max="3351" width="4.26953125" style="150" customWidth="1"/>
    <col min="3352" max="3352" width="7.08984375" style="150" customWidth="1"/>
    <col min="3353" max="3353" width="4.08984375" style="150" customWidth="1"/>
    <col min="3354" max="3354" width="7.08984375" style="150" customWidth="1"/>
    <col min="3355" max="3355" width="4.08984375" style="150" customWidth="1"/>
    <col min="3356" max="3356" width="7.08984375" style="150" customWidth="1"/>
    <col min="3357" max="3357" width="4.08984375" style="150" customWidth="1"/>
    <col min="3358" max="3358" width="7.08984375" style="150" customWidth="1"/>
    <col min="3359" max="3359" width="4.08984375" style="150" customWidth="1"/>
    <col min="3360" max="3360" width="7.08984375" style="150" customWidth="1"/>
    <col min="3361" max="3361" width="4.08984375" style="150" customWidth="1"/>
    <col min="3362" max="3362" width="7.08984375" style="150" customWidth="1"/>
    <col min="3363" max="3363" width="4.08984375" style="150" customWidth="1"/>
    <col min="3364" max="3364" width="7.08984375" style="150" customWidth="1"/>
    <col min="3365" max="3365" width="4.08984375" style="150" customWidth="1"/>
    <col min="3366" max="3584" width="8.7265625" style="150"/>
    <col min="3585" max="3585" width="5.6328125" style="150" customWidth="1"/>
    <col min="3586" max="3586" width="3" style="150" customWidth="1"/>
    <col min="3587" max="3587" width="15.36328125" style="150" customWidth="1"/>
    <col min="3588" max="3588" width="9.08984375" style="150" customWidth="1"/>
    <col min="3589" max="3589" width="7.08984375" style="150" customWidth="1"/>
    <col min="3590" max="3590" width="4.08984375" style="150" customWidth="1"/>
    <col min="3591" max="3591" width="7.08984375" style="150" customWidth="1"/>
    <col min="3592" max="3592" width="4.08984375" style="150" customWidth="1"/>
    <col min="3593" max="3593" width="7.08984375" style="150" customWidth="1"/>
    <col min="3594" max="3594" width="4.08984375" style="150" customWidth="1"/>
    <col min="3595" max="3595" width="7.08984375" style="150" customWidth="1"/>
    <col min="3596" max="3596" width="4.08984375" style="150" customWidth="1"/>
    <col min="3597" max="3597" width="7.08984375" style="150" customWidth="1"/>
    <col min="3598" max="3598" width="4.08984375" style="150" customWidth="1"/>
    <col min="3599" max="3599" width="7.08984375" style="150" customWidth="1"/>
    <col min="3600" max="3600" width="4.08984375" style="150" customWidth="1"/>
    <col min="3601" max="3601" width="7.08984375" style="150" customWidth="1"/>
    <col min="3602" max="3602" width="4.08984375" style="150" customWidth="1"/>
    <col min="3603" max="3603" width="7.08984375" style="150" customWidth="1"/>
    <col min="3604" max="3604" width="4.08984375" style="150" customWidth="1"/>
    <col min="3605" max="3605" width="9.08984375" style="150" customWidth="1"/>
    <col min="3606" max="3606" width="7.08984375" style="150" customWidth="1"/>
    <col min="3607" max="3607" width="4.26953125" style="150" customWidth="1"/>
    <col min="3608" max="3608" width="7.08984375" style="150" customWidth="1"/>
    <col min="3609" max="3609" width="4.08984375" style="150" customWidth="1"/>
    <col min="3610" max="3610" width="7.08984375" style="150" customWidth="1"/>
    <col min="3611" max="3611" width="4.08984375" style="150" customWidth="1"/>
    <col min="3612" max="3612" width="7.08984375" style="150" customWidth="1"/>
    <col min="3613" max="3613" width="4.08984375" style="150" customWidth="1"/>
    <col min="3614" max="3614" width="7.08984375" style="150" customWidth="1"/>
    <col min="3615" max="3615" width="4.08984375" style="150" customWidth="1"/>
    <col min="3616" max="3616" width="7.08984375" style="150" customWidth="1"/>
    <col min="3617" max="3617" width="4.08984375" style="150" customWidth="1"/>
    <col min="3618" max="3618" width="7.08984375" style="150" customWidth="1"/>
    <col min="3619" max="3619" width="4.08984375" style="150" customWidth="1"/>
    <col min="3620" max="3620" width="7.08984375" style="150" customWidth="1"/>
    <col min="3621" max="3621" width="4.08984375" style="150" customWidth="1"/>
    <col min="3622" max="3840" width="8.7265625" style="150"/>
    <col min="3841" max="3841" width="5.6328125" style="150" customWidth="1"/>
    <col min="3842" max="3842" width="3" style="150" customWidth="1"/>
    <col min="3843" max="3843" width="15.36328125" style="150" customWidth="1"/>
    <col min="3844" max="3844" width="9.08984375" style="150" customWidth="1"/>
    <col min="3845" max="3845" width="7.08984375" style="150" customWidth="1"/>
    <col min="3846" max="3846" width="4.08984375" style="150" customWidth="1"/>
    <col min="3847" max="3847" width="7.08984375" style="150" customWidth="1"/>
    <col min="3848" max="3848" width="4.08984375" style="150" customWidth="1"/>
    <col min="3849" max="3849" width="7.08984375" style="150" customWidth="1"/>
    <col min="3850" max="3850" width="4.08984375" style="150" customWidth="1"/>
    <col min="3851" max="3851" width="7.08984375" style="150" customWidth="1"/>
    <col min="3852" max="3852" width="4.08984375" style="150" customWidth="1"/>
    <col min="3853" max="3853" width="7.08984375" style="150" customWidth="1"/>
    <col min="3854" max="3854" width="4.08984375" style="150" customWidth="1"/>
    <col min="3855" max="3855" width="7.08984375" style="150" customWidth="1"/>
    <col min="3856" max="3856" width="4.08984375" style="150" customWidth="1"/>
    <col min="3857" max="3857" width="7.08984375" style="150" customWidth="1"/>
    <col min="3858" max="3858" width="4.08984375" style="150" customWidth="1"/>
    <col min="3859" max="3859" width="7.08984375" style="150" customWidth="1"/>
    <col min="3860" max="3860" width="4.08984375" style="150" customWidth="1"/>
    <col min="3861" max="3861" width="9.08984375" style="150" customWidth="1"/>
    <col min="3862" max="3862" width="7.08984375" style="150" customWidth="1"/>
    <col min="3863" max="3863" width="4.26953125" style="150" customWidth="1"/>
    <col min="3864" max="3864" width="7.08984375" style="150" customWidth="1"/>
    <col min="3865" max="3865" width="4.08984375" style="150" customWidth="1"/>
    <col min="3866" max="3866" width="7.08984375" style="150" customWidth="1"/>
    <col min="3867" max="3867" width="4.08984375" style="150" customWidth="1"/>
    <col min="3868" max="3868" width="7.08984375" style="150" customWidth="1"/>
    <col min="3869" max="3869" width="4.08984375" style="150" customWidth="1"/>
    <col min="3870" max="3870" width="7.08984375" style="150" customWidth="1"/>
    <col min="3871" max="3871" width="4.08984375" style="150" customWidth="1"/>
    <col min="3872" max="3872" width="7.08984375" style="150" customWidth="1"/>
    <col min="3873" max="3873" width="4.08984375" style="150" customWidth="1"/>
    <col min="3874" max="3874" width="7.08984375" style="150" customWidth="1"/>
    <col min="3875" max="3875" width="4.08984375" style="150" customWidth="1"/>
    <col min="3876" max="3876" width="7.08984375" style="150" customWidth="1"/>
    <col min="3877" max="3877" width="4.08984375" style="150" customWidth="1"/>
    <col min="3878" max="4096" width="8.7265625" style="150"/>
    <col min="4097" max="4097" width="5.6328125" style="150" customWidth="1"/>
    <col min="4098" max="4098" width="3" style="150" customWidth="1"/>
    <col min="4099" max="4099" width="15.36328125" style="150" customWidth="1"/>
    <col min="4100" max="4100" width="9.08984375" style="150" customWidth="1"/>
    <col min="4101" max="4101" width="7.08984375" style="150" customWidth="1"/>
    <col min="4102" max="4102" width="4.08984375" style="150" customWidth="1"/>
    <col min="4103" max="4103" width="7.08984375" style="150" customWidth="1"/>
    <col min="4104" max="4104" width="4.08984375" style="150" customWidth="1"/>
    <col min="4105" max="4105" width="7.08984375" style="150" customWidth="1"/>
    <col min="4106" max="4106" width="4.08984375" style="150" customWidth="1"/>
    <col min="4107" max="4107" width="7.08984375" style="150" customWidth="1"/>
    <col min="4108" max="4108" width="4.08984375" style="150" customWidth="1"/>
    <col min="4109" max="4109" width="7.08984375" style="150" customWidth="1"/>
    <col min="4110" max="4110" width="4.08984375" style="150" customWidth="1"/>
    <col min="4111" max="4111" width="7.08984375" style="150" customWidth="1"/>
    <col min="4112" max="4112" width="4.08984375" style="150" customWidth="1"/>
    <col min="4113" max="4113" width="7.08984375" style="150" customWidth="1"/>
    <col min="4114" max="4114" width="4.08984375" style="150" customWidth="1"/>
    <col min="4115" max="4115" width="7.08984375" style="150" customWidth="1"/>
    <col min="4116" max="4116" width="4.08984375" style="150" customWidth="1"/>
    <col min="4117" max="4117" width="9.08984375" style="150" customWidth="1"/>
    <col min="4118" max="4118" width="7.08984375" style="150" customWidth="1"/>
    <col min="4119" max="4119" width="4.26953125" style="150" customWidth="1"/>
    <col min="4120" max="4120" width="7.08984375" style="150" customWidth="1"/>
    <col min="4121" max="4121" width="4.08984375" style="150" customWidth="1"/>
    <col min="4122" max="4122" width="7.08984375" style="150" customWidth="1"/>
    <col min="4123" max="4123" width="4.08984375" style="150" customWidth="1"/>
    <col min="4124" max="4124" width="7.08984375" style="150" customWidth="1"/>
    <col min="4125" max="4125" width="4.08984375" style="150" customWidth="1"/>
    <col min="4126" max="4126" width="7.08984375" style="150" customWidth="1"/>
    <col min="4127" max="4127" width="4.08984375" style="150" customWidth="1"/>
    <col min="4128" max="4128" width="7.08984375" style="150" customWidth="1"/>
    <col min="4129" max="4129" width="4.08984375" style="150" customWidth="1"/>
    <col min="4130" max="4130" width="7.08984375" style="150" customWidth="1"/>
    <col min="4131" max="4131" width="4.08984375" style="150" customWidth="1"/>
    <col min="4132" max="4132" width="7.08984375" style="150" customWidth="1"/>
    <col min="4133" max="4133" width="4.08984375" style="150" customWidth="1"/>
    <col min="4134" max="4352" width="8.7265625" style="150"/>
    <col min="4353" max="4353" width="5.6328125" style="150" customWidth="1"/>
    <col min="4354" max="4354" width="3" style="150" customWidth="1"/>
    <col min="4355" max="4355" width="15.36328125" style="150" customWidth="1"/>
    <col min="4356" max="4356" width="9.08984375" style="150" customWidth="1"/>
    <col min="4357" max="4357" width="7.08984375" style="150" customWidth="1"/>
    <col min="4358" max="4358" width="4.08984375" style="150" customWidth="1"/>
    <col min="4359" max="4359" width="7.08984375" style="150" customWidth="1"/>
    <col min="4360" max="4360" width="4.08984375" style="150" customWidth="1"/>
    <col min="4361" max="4361" width="7.08984375" style="150" customWidth="1"/>
    <col min="4362" max="4362" width="4.08984375" style="150" customWidth="1"/>
    <col min="4363" max="4363" width="7.08984375" style="150" customWidth="1"/>
    <col min="4364" max="4364" width="4.08984375" style="150" customWidth="1"/>
    <col min="4365" max="4365" width="7.08984375" style="150" customWidth="1"/>
    <col min="4366" max="4366" width="4.08984375" style="150" customWidth="1"/>
    <col min="4367" max="4367" width="7.08984375" style="150" customWidth="1"/>
    <col min="4368" max="4368" width="4.08984375" style="150" customWidth="1"/>
    <col min="4369" max="4369" width="7.08984375" style="150" customWidth="1"/>
    <col min="4370" max="4370" width="4.08984375" style="150" customWidth="1"/>
    <col min="4371" max="4371" width="7.08984375" style="150" customWidth="1"/>
    <col min="4372" max="4372" width="4.08984375" style="150" customWidth="1"/>
    <col min="4373" max="4373" width="9.08984375" style="150" customWidth="1"/>
    <col min="4374" max="4374" width="7.08984375" style="150" customWidth="1"/>
    <col min="4375" max="4375" width="4.26953125" style="150" customWidth="1"/>
    <col min="4376" max="4376" width="7.08984375" style="150" customWidth="1"/>
    <col min="4377" max="4377" width="4.08984375" style="150" customWidth="1"/>
    <col min="4378" max="4378" width="7.08984375" style="150" customWidth="1"/>
    <col min="4379" max="4379" width="4.08984375" style="150" customWidth="1"/>
    <col min="4380" max="4380" width="7.08984375" style="150" customWidth="1"/>
    <col min="4381" max="4381" width="4.08984375" style="150" customWidth="1"/>
    <col min="4382" max="4382" width="7.08984375" style="150" customWidth="1"/>
    <col min="4383" max="4383" width="4.08984375" style="150" customWidth="1"/>
    <col min="4384" max="4384" width="7.08984375" style="150" customWidth="1"/>
    <col min="4385" max="4385" width="4.08984375" style="150" customWidth="1"/>
    <col min="4386" max="4386" width="7.08984375" style="150" customWidth="1"/>
    <col min="4387" max="4387" width="4.08984375" style="150" customWidth="1"/>
    <col min="4388" max="4388" width="7.08984375" style="150" customWidth="1"/>
    <col min="4389" max="4389" width="4.08984375" style="150" customWidth="1"/>
    <col min="4390" max="4608" width="8.7265625" style="150"/>
    <col min="4609" max="4609" width="5.6328125" style="150" customWidth="1"/>
    <col min="4610" max="4610" width="3" style="150" customWidth="1"/>
    <col min="4611" max="4611" width="15.36328125" style="150" customWidth="1"/>
    <col min="4612" max="4612" width="9.08984375" style="150" customWidth="1"/>
    <col min="4613" max="4613" width="7.08984375" style="150" customWidth="1"/>
    <col min="4614" max="4614" width="4.08984375" style="150" customWidth="1"/>
    <col min="4615" max="4615" width="7.08984375" style="150" customWidth="1"/>
    <col min="4616" max="4616" width="4.08984375" style="150" customWidth="1"/>
    <col min="4617" max="4617" width="7.08984375" style="150" customWidth="1"/>
    <col min="4618" max="4618" width="4.08984375" style="150" customWidth="1"/>
    <col min="4619" max="4619" width="7.08984375" style="150" customWidth="1"/>
    <col min="4620" max="4620" width="4.08984375" style="150" customWidth="1"/>
    <col min="4621" max="4621" width="7.08984375" style="150" customWidth="1"/>
    <col min="4622" max="4622" width="4.08984375" style="150" customWidth="1"/>
    <col min="4623" max="4623" width="7.08984375" style="150" customWidth="1"/>
    <col min="4624" max="4624" width="4.08984375" style="150" customWidth="1"/>
    <col min="4625" max="4625" width="7.08984375" style="150" customWidth="1"/>
    <col min="4626" max="4626" width="4.08984375" style="150" customWidth="1"/>
    <col min="4627" max="4627" width="7.08984375" style="150" customWidth="1"/>
    <col min="4628" max="4628" width="4.08984375" style="150" customWidth="1"/>
    <col min="4629" max="4629" width="9.08984375" style="150" customWidth="1"/>
    <col min="4630" max="4630" width="7.08984375" style="150" customWidth="1"/>
    <col min="4631" max="4631" width="4.26953125" style="150" customWidth="1"/>
    <col min="4632" max="4632" width="7.08984375" style="150" customWidth="1"/>
    <col min="4633" max="4633" width="4.08984375" style="150" customWidth="1"/>
    <col min="4634" max="4634" width="7.08984375" style="150" customWidth="1"/>
    <col min="4635" max="4635" width="4.08984375" style="150" customWidth="1"/>
    <col min="4636" max="4636" width="7.08984375" style="150" customWidth="1"/>
    <col min="4637" max="4637" width="4.08984375" style="150" customWidth="1"/>
    <col min="4638" max="4638" width="7.08984375" style="150" customWidth="1"/>
    <col min="4639" max="4639" width="4.08984375" style="150" customWidth="1"/>
    <col min="4640" max="4640" width="7.08984375" style="150" customWidth="1"/>
    <col min="4641" max="4641" width="4.08984375" style="150" customWidth="1"/>
    <col min="4642" max="4642" width="7.08984375" style="150" customWidth="1"/>
    <col min="4643" max="4643" width="4.08984375" style="150" customWidth="1"/>
    <col min="4644" max="4644" width="7.08984375" style="150" customWidth="1"/>
    <col min="4645" max="4645" width="4.08984375" style="150" customWidth="1"/>
    <col min="4646" max="4864" width="8.7265625" style="150"/>
    <col min="4865" max="4865" width="5.6328125" style="150" customWidth="1"/>
    <col min="4866" max="4866" width="3" style="150" customWidth="1"/>
    <col min="4867" max="4867" width="15.36328125" style="150" customWidth="1"/>
    <col min="4868" max="4868" width="9.08984375" style="150" customWidth="1"/>
    <col min="4869" max="4869" width="7.08984375" style="150" customWidth="1"/>
    <col min="4870" max="4870" width="4.08984375" style="150" customWidth="1"/>
    <col min="4871" max="4871" width="7.08984375" style="150" customWidth="1"/>
    <col min="4872" max="4872" width="4.08984375" style="150" customWidth="1"/>
    <col min="4873" max="4873" width="7.08984375" style="150" customWidth="1"/>
    <col min="4874" max="4874" width="4.08984375" style="150" customWidth="1"/>
    <col min="4875" max="4875" width="7.08984375" style="150" customWidth="1"/>
    <col min="4876" max="4876" width="4.08984375" style="150" customWidth="1"/>
    <col min="4877" max="4877" width="7.08984375" style="150" customWidth="1"/>
    <col min="4878" max="4878" width="4.08984375" style="150" customWidth="1"/>
    <col min="4879" max="4879" width="7.08984375" style="150" customWidth="1"/>
    <col min="4880" max="4880" width="4.08984375" style="150" customWidth="1"/>
    <col min="4881" max="4881" width="7.08984375" style="150" customWidth="1"/>
    <col min="4882" max="4882" width="4.08984375" style="150" customWidth="1"/>
    <col min="4883" max="4883" width="7.08984375" style="150" customWidth="1"/>
    <col min="4884" max="4884" width="4.08984375" style="150" customWidth="1"/>
    <col min="4885" max="4885" width="9.08984375" style="150" customWidth="1"/>
    <col min="4886" max="4886" width="7.08984375" style="150" customWidth="1"/>
    <col min="4887" max="4887" width="4.26953125" style="150" customWidth="1"/>
    <col min="4888" max="4888" width="7.08984375" style="150" customWidth="1"/>
    <col min="4889" max="4889" width="4.08984375" style="150" customWidth="1"/>
    <col min="4890" max="4890" width="7.08984375" style="150" customWidth="1"/>
    <col min="4891" max="4891" width="4.08984375" style="150" customWidth="1"/>
    <col min="4892" max="4892" width="7.08984375" style="150" customWidth="1"/>
    <col min="4893" max="4893" width="4.08984375" style="150" customWidth="1"/>
    <col min="4894" max="4894" width="7.08984375" style="150" customWidth="1"/>
    <col min="4895" max="4895" width="4.08984375" style="150" customWidth="1"/>
    <col min="4896" max="4896" width="7.08984375" style="150" customWidth="1"/>
    <col min="4897" max="4897" width="4.08984375" style="150" customWidth="1"/>
    <col min="4898" max="4898" width="7.08984375" style="150" customWidth="1"/>
    <col min="4899" max="4899" width="4.08984375" style="150" customWidth="1"/>
    <col min="4900" max="4900" width="7.08984375" style="150" customWidth="1"/>
    <col min="4901" max="4901" width="4.08984375" style="150" customWidth="1"/>
    <col min="4902" max="5120" width="8.7265625" style="150"/>
    <col min="5121" max="5121" width="5.6328125" style="150" customWidth="1"/>
    <col min="5122" max="5122" width="3" style="150" customWidth="1"/>
    <col min="5123" max="5123" width="15.36328125" style="150" customWidth="1"/>
    <col min="5124" max="5124" width="9.08984375" style="150" customWidth="1"/>
    <col min="5125" max="5125" width="7.08984375" style="150" customWidth="1"/>
    <col min="5126" max="5126" width="4.08984375" style="150" customWidth="1"/>
    <col min="5127" max="5127" width="7.08984375" style="150" customWidth="1"/>
    <col min="5128" max="5128" width="4.08984375" style="150" customWidth="1"/>
    <col min="5129" max="5129" width="7.08984375" style="150" customWidth="1"/>
    <col min="5130" max="5130" width="4.08984375" style="150" customWidth="1"/>
    <col min="5131" max="5131" width="7.08984375" style="150" customWidth="1"/>
    <col min="5132" max="5132" width="4.08984375" style="150" customWidth="1"/>
    <col min="5133" max="5133" width="7.08984375" style="150" customWidth="1"/>
    <col min="5134" max="5134" width="4.08984375" style="150" customWidth="1"/>
    <col min="5135" max="5135" width="7.08984375" style="150" customWidth="1"/>
    <col min="5136" max="5136" width="4.08984375" style="150" customWidth="1"/>
    <col min="5137" max="5137" width="7.08984375" style="150" customWidth="1"/>
    <col min="5138" max="5138" width="4.08984375" style="150" customWidth="1"/>
    <col min="5139" max="5139" width="7.08984375" style="150" customWidth="1"/>
    <col min="5140" max="5140" width="4.08984375" style="150" customWidth="1"/>
    <col min="5141" max="5141" width="9.08984375" style="150" customWidth="1"/>
    <col min="5142" max="5142" width="7.08984375" style="150" customWidth="1"/>
    <col min="5143" max="5143" width="4.26953125" style="150" customWidth="1"/>
    <col min="5144" max="5144" width="7.08984375" style="150" customWidth="1"/>
    <col min="5145" max="5145" width="4.08984375" style="150" customWidth="1"/>
    <col min="5146" max="5146" width="7.08984375" style="150" customWidth="1"/>
    <col min="5147" max="5147" width="4.08984375" style="150" customWidth="1"/>
    <col min="5148" max="5148" width="7.08984375" style="150" customWidth="1"/>
    <col min="5149" max="5149" width="4.08984375" style="150" customWidth="1"/>
    <col min="5150" max="5150" width="7.08984375" style="150" customWidth="1"/>
    <col min="5151" max="5151" width="4.08984375" style="150" customWidth="1"/>
    <col min="5152" max="5152" width="7.08984375" style="150" customWidth="1"/>
    <col min="5153" max="5153" width="4.08984375" style="150" customWidth="1"/>
    <col min="5154" max="5154" width="7.08984375" style="150" customWidth="1"/>
    <col min="5155" max="5155" width="4.08984375" style="150" customWidth="1"/>
    <col min="5156" max="5156" width="7.08984375" style="150" customWidth="1"/>
    <col min="5157" max="5157" width="4.08984375" style="150" customWidth="1"/>
    <col min="5158" max="5376" width="8.7265625" style="150"/>
    <col min="5377" max="5377" width="5.6328125" style="150" customWidth="1"/>
    <col min="5378" max="5378" width="3" style="150" customWidth="1"/>
    <col min="5379" max="5379" width="15.36328125" style="150" customWidth="1"/>
    <col min="5380" max="5380" width="9.08984375" style="150" customWidth="1"/>
    <col min="5381" max="5381" width="7.08984375" style="150" customWidth="1"/>
    <col min="5382" max="5382" width="4.08984375" style="150" customWidth="1"/>
    <col min="5383" max="5383" width="7.08984375" style="150" customWidth="1"/>
    <col min="5384" max="5384" width="4.08984375" style="150" customWidth="1"/>
    <col min="5385" max="5385" width="7.08984375" style="150" customWidth="1"/>
    <col min="5386" max="5386" width="4.08984375" style="150" customWidth="1"/>
    <col min="5387" max="5387" width="7.08984375" style="150" customWidth="1"/>
    <col min="5388" max="5388" width="4.08984375" style="150" customWidth="1"/>
    <col min="5389" max="5389" width="7.08984375" style="150" customWidth="1"/>
    <col min="5390" max="5390" width="4.08984375" style="150" customWidth="1"/>
    <col min="5391" max="5391" width="7.08984375" style="150" customWidth="1"/>
    <col min="5392" max="5392" width="4.08984375" style="150" customWidth="1"/>
    <col min="5393" max="5393" width="7.08984375" style="150" customWidth="1"/>
    <col min="5394" max="5394" width="4.08984375" style="150" customWidth="1"/>
    <col min="5395" max="5395" width="7.08984375" style="150" customWidth="1"/>
    <col min="5396" max="5396" width="4.08984375" style="150" customWidth="1"/>
    <col min="5397" max="5397" width="9.08984375" style="150" customWidth="1"/>
    <col min="5398" max="5398" width="7.08984375" style="150" customWidth="1"/>
    <col min="5399" max="5399" width="4.26953125" style="150" customWidth="1"/>
    <col min="5400" max="5400" width="7.08984375" style="150" customWidth="1"/>
    <col min="5401" max="5401" width="4.08984375" style="150" customWidth="1"/>
    <col min="5402" max="5402" width="7.08984375" style="150" customWidth="1"/>
    <col min="5403" max="5403" width="4.08984375" style="150" customWidth="1"/>
    <col min="5404" max="5404" width="7.08984375" style="150" customWidth="1"/>
    <col min="5405" max="5405" width="4.08984375" style="150" customWidth="1"/>
    <col min="5406" max="5406" width="7.08984375" style="150" customWidth="1"/>
    <col min="5407" max="5407" width="4.08984375" style="150" customWidth="1"/>
    <col min="5408" max="5408" width="7.08984375" style="150" customWidth="1"/>
    <col min="5409" max="5409" width="4.08984375" style="150" customWidth="1"/>
    <col min="5410" max="5410" width="7.08984375" style="150" customWidth="1"/>
    <col min="5411" max="5411" width="4.08984375" style="150" customWidth="1"/>
    <col min="5412" max="5412" width="7.08984375" style="150" customWidth="1"/>
    <col min="5413" max="5413" width="4.08984375" style="150" customWidth="1"/>
    <col min="5414" max="5632" width="8.7265625" style="150"/>
    <col min="5633" max="5633" width="5.6328125" style="150" customWidth="1"/>
    <col min="5634" max="5634" width="3" style="150" customWidth="1"/>
    <col min="5635" max="5635" width="15.36328125" style="150" customWidth="1"/>
    <col min="5636" max="5636" width="9.08984375" style="150" customWidth="1"/>
    <col min="5637" max="5637" width="7.08984375" style="150" customWidth="1"/>
    <col min="5638" max="5638" width="4.08984375" style="150" customWidth="1"/>
    <col min="5639" max="5639" width="7.08984375" style="150" customWidth="1"/>
    <col min="5640" max="5640" width="4.08984375" style="150" customWidth="1"/>
    <col min="5641" max="5641" width="7.08984375" style="150" customWidth="1"/>
    <col min="5642" max="5642" width="4.08984375" style="150" customWidth="1"/>
    <col min="5643" max="5643" width="7.08984375" style="150" customWidth="1"/>
    <col min="5644" max="5644" width="4.08984375" style="150" customWidth="1"/>
    <col min="5645" max="5645" width="7.08984375" style="150" customWidth="1"/>
    <col min="5646" max="5646" width="4.08984375" style="150" customWidth="1"/>
    <col min="5647" max="5647" width="7.08984375" style="150" customWidth="1"/>
    <col min="5648" max="5648" width="4.08984375" style="150" customWidth="1"/>
    <col min="5649" max="5649" width="7.08984375" style="150" customWidth="1"/>
    <col min="5650" max="5650" width="4.08984375" style="150" customWidth="1"/>
    <col min="5651" max="5651" width="7.08984375" style="150" customWidth="1"/>
    <col min="5652" max="5652" width="4.08984375" style="150" customWidth="1"/>
    <col min="5653" max="5653" width="9.08984375" style="150" customWidth="1"/>
    <col min="5654" max="5654" width="7.08984375" style="150" customWidth="1"/>
    <col min="5655" max="5655" width="4.26953125" style="150" customWidth="1"/>
    <col min="5656" max="5656" width="7.08984375" style="150" customWidth="1"/>
    <col min="5657" max="5657" width="4.08984375" style="150" customWidth="1"/>
    <col min="5658" max="5658" width="7.08984375" style="150" customWidth="1"/>
    <col min="5659" max="5659" width="4.08984375" style="150" customWidth="1"/>
    <col min="5660" max="5660" width="7.08984375" style="150" customWidth="1"/>
    <col min="5661" max="5661" width="4.08984375" style="150" customWidth="1"/>
    <col min="5662" max="5662" width="7.08984375" style="150" customWidth="1"/>
    <col min="5663" max="5663" width="4.08984375" style="150" customWidth="1"/>
    <col min="5664" max="5664" width="7.08984375" style="150" customWidth="1"/>
    <col min="5665" max="5665" width="4.08984375" style="150" customWidth="1"/>
    <col min="5666" max="5666" width="7.08984375" style="150" customWidth="1"/>
    <col min="5667" max="5667" width="4.08984375" style="150" customWidth="1"/>
    <col min="5668" max="5668" width="7.08984375" style="150" customWidth="1"/>
    <col min="5669" max="5669" width="4.08984375" style="150" customWidth="1"/>
    <col min="5670" max="5888" width="8.7265625" style="150"/>
    <col min="5889" max="5889" width="5.6328125" style="150" customWidth="1"/>
    <col min="5890" max="5890" width="3" style="150" customWidth="1"/>
    <col min="5891" max="5891" width="15.36328125" style="150" customWidth="1"/>
    <col min="5892" max="5892" width="9.08984375" style="150" customWidth="1"/>
    <col min="5893" max="5893" width="7.08984375" style="150" customWidth="1"/>
    <col min="5894" max="5894" width="4.08984375" style="150" customWidth="1"/>
    <col min="5895" max="5895" width="7.08984375" style="150" customWidth="1"/>
    <col min="5896" max="5896" width="4.08984375" style="150" customWidth="1"/>
    <col min="5897" max="5897" width="7.08984375" style="150" customWidth="1"/>
    <col min="5898" max="5898" width="4.08984375" style="150" customWidth="1"/>
    <col min="5899" max="5899" width="7.08984375" style="150" customWidth="1"/>
    <col min="5900" max="5900" width="4.08984375" style="150" customWidth="1"/>
    <col min="5901" max="5901" width="7.08984375" style="150" customWidth="1"/>
    <col min="5902" max="5902" width="4.08984375" style="150" customWidth="1"/>
    <col min="5903" max="5903" width="7.08984375" style="150" customWidth="1"/>
    <col min="5904" max="5904" width="4.08984375" style="150" customWidth="1"/>
    <col min="5905" max="5905" width="7.08984375" style="150" customWidth="1"/>
    <col min="5906" max="5906" width="4.08984375" style="150" customWidth="1"/>
    <col min="5907" max="5907" width="7.08984375" style="150" customWidth="1"/>
    <col min="5908" max="5908" width="4.08984375" style="150" customWidth="1"/>
    <col min="5909" max="5909" width="9.08984375" style="150" customWidth="1"/>
    <col min="5910" max="5910" width="7.08984375" style="150" customWidth="1"/>
    <col min="5911" max="5911" width="4.26953125" style="150" customWidth="1"/>
    <col min="5912" max="5912" width="7.08984375" style="150" customWidth="1"/>
    <col min="5913" max="5913" width="4.08984375" style="150" customWidth="1"/>
    <col min="5914" max="5914" width="7.08984375" style="150" customWidth="1"/>
    <col min="5915" max="5915" width="4.08984375" style="150" customWidth="1"/>
    <col min="5916" max="5916" width="7.08984375" style="150" customWidth="1"/>
    <col min="5917" max="5917" width="4.08984375" style="150" customWidth="1"/>
    <col min="5918" max="5918" width="7.08984375" style="150" customWidth="1"/>
    <col min="5919" max="5919" width="4.08984375" style="150" customWidth="1"/>
    <col min="5920" max="5920" width="7.08984375" style="150" customWidth="1"/>
    <col min="5921" max="5921" width="4.08984375" style="150" customWidth="1"/>
    <col min="5922" max="5922" width="7.08984375" style="150" customWidth="1"/>
    <col min="5923" max="5923" width="4.08984375" style="150" customWidth="1"/>
    <col min="5924" max="5924" width="7.08984375" style="150" customWidth="1"/>
    <col min="5925" max="5925" width="4.08984375" style="150" customWidth="1"/>
    <col min="5926" max="6144" width="8.7265625" style="150"/>
    <col min="6145" max="6145" width="5.6328125" style="150" customWidth="1"/>
    <col min="6146" max="6146" width="3" style="150" customWidth="1"/>
    <col min="6147" max="6147" width="15.36328125" style="150" customWidth="1"/>
    <col min="6148" max="6148" width="9.08984375" style="150" customWidth="1"/>
    <col min="6149" max="6149" width="7.08984375" style="150" customWidth="1"/>
    <col min="6150" max="6150" width="4.08984375" style="150" customWidth="1"/>
    <col min="6151" max="6151" width="7.08984375" style="150" customWidth="1"/>
    <col min="6152" max="6152" width="4.08984375" style="150" customWidth="1"/>
    <col min="6153" max="6153" width="7.08984375" style="150" customWidth="1"/>
    <col min="6154" max="6154" width="4.08984375" style="150" customWidth="1"/>
    <col min="6155" max="6155" width="7.08984375" style="150" customWidth="1"/>
    <col min="6156" max="6156" width="4.08984375" style="150" customWidth="1"/>
    <col min="6157" max="6157" width="7.08984375" style="150" customWidth="1"/>
    <col min="6158" max="6158" width="4.08984375" style="150" customWidth="1"/>
    <col min="6159" max="6159" width="7.08984375" style="150" customWidth="1"/>
    <col min="6160" max="6160" width="4.08984375" style="150" customWidth="1"/>
    <col min="6161" max="6161" width="7.08984375" style="150" customWidth="1"/>
    <col min="6162" max="6162" width="4.08984375" style="150" customWidth="1"/>
    <col min="6163" max="6163" width="7.08984375" style="150" customWidth="1"/>
    <col min="6164" max="6164" width="4.08984375" style="150" customWidth="1"/>
    <col min="6165" max="6165" width="9.08984375" style="150" customWidth="1"/>
    <col min="6166" max="6166" width="7.08984375" style="150" customWidth="1"/>
    <col min="6167" max="6167" width="4.26953125" style="150" customWidth="1"/>
    <col min="6168" max="6168" width="7.08984375" style="150" customWidth="1"/>
    <col min="6169" max="6169" width="4.08984375" style="150" customWidth="1"/>
    <col min="6170" max="6170" width="7.08984375" style="150" customWidth="1"/>
    <col min="6171" max="6171" width="4.08984375" style="150" customWidth="1"/>
    <col min="6172" max="6172" width="7.08984375" style="150" customWidth="1"/>
    <col min="6173" max="6173" width="4.08984375" style="150" customWidth="1"/>
    <col min="6174" max="6174" width="7.08984375" style="150" customWidth="1"/>
    <col min="6175" max="6175" width="4.08984375" style="150" customWidth="1"/>
    <col min="6176" max="6176" width="7.08984375" style="150" customWidth="1"/>
    <col min="6177" max="6177" width="4.08984375" style="150" customWidth="1"/>
    <col min="6178" max="6178" width="7.08984375" style="150" customWidth="1"/>
    <col min="6179" max="6179" width="4.08984375" style="150" customWidth="1"/>
    <col min="6180" max="6180" width="7.08984375" style="150" customWidth="1"/>
    <col min="6181" max="6181" width="4.08984375" style="150" customWidth="1"/>
    <col min="6182" max="6400" width="8.7265625" style="150"/>
    <col min="6401" max="6401" width="5.6328125" style="150" customWidth="1"/>
    <col min="6402" max="6402" width="3" style="150" customWidth="1"/>
    <col min="6403" max="6403" width="15.36328125" style="150" customWidth="1"/>
    <col min="6404" max="6404" width="9.08984375" style="150" customWidth="1"/>
    <col min="6405" max="6405" width="7.08984375" style="150" customWidth="1"/>
    <col min="6406" max="6406" width="4.08984375" style="150" customWidth="1"/>
    <col min="6407" max="6407" width="7.08984375" style="150" customWidth="1"/>
    <col min="6408" max="6408" width="4.08984375" style="150" customWidth="1"/>
    <col min="6409" max="6409" width="7.08984375" style="150" customWidth="1"/>
    <col min="6410" max="6410" width="4.08984375" style="150" customWidth="1"/>
    <col min="6411" max="6411" width="7.08984375" style="150" customWidth="1"/>
    <col min="6412" max="6412" width="4.08984375" style="150" customWidth="1"/>
    <col min="6413" max="6413" width="7.08984375" style="150" customWidth="1"/>
    <col min="6414" max="6414" width="4.08984375" style="150" customWidth="1"/>
    <col min="6415" max="6415" width="7.08984375" style="150" customWidth="1"/>
    <col min="6416" max="6416" width="4.08984375" style="150" customWidth="1"/>
    <col min="6417" max="6417" width="7.08984375" style="150" customWidth="1"/>
    <col min="6418" max="6418" width="4.08984375" style="150" customWidth="1"/>
    <col min="6419" max="6419" width="7.08984375" style="150" customWidth="1"/>
    <col min="6420" max="6420" width="4.08984375" style="150" customWidth="1"/>
    <col min="6421" max="6421" width="9.08984375" style="150" customWidth="1"/>
    <col min="6422" max="6422" width="7.08984375" style="150" customWidth="1"/>
    <col min="6423" max="6423" width="4.26953125" style="150" customWidth="1"/>
    <col min="6424" max="6424" width="7.08984375" style="150" customWidth="1"/>
    <col min="6425" max="6425" width="4.08984375" style="150" customWidth="1"/>
    <col min="6426" max="6426" width="7.08984375" style="150" customWidth="1"/>
    <col min="6427" max="6427" width="4.08984375" style="150" customWidth="1"/>
    <col min="6428" max="6428" width="7.08984375" style="150" customWidth="1"/>
    <col min="6429" max="6429" width="4.08984375" style="150" customWidth="1"/>
    <col min="6430" max="6430" width="7.08984375" style="150" customWidth="1"/>
    <col min="6431" max="6431" width="4.08984375" style="150" customWidth="1"/>
    <col min="6432" max="6432" width="7.08984375" style="150" customWidth="1"/>
    <col min="6433" max="6433" width="4.08984375" style="150" customWidth="1"/>
    <col min="6434" max="6434" width="7.08984375" style="150" customWidth="1"/>
    <col min="6435" max="6435" width="4.08984375" style="150" customWidth="1"/>
    <col min="6436" max="6436" width="7.08984375" style="150" customWidth="1"/>
    <col min="6437" max="6437" width="4.08984375" style="150" customWidth="1"/>
    <col min="6438" max="6656" width="8.7265625" style="150"/>
    <col min="6657" max="6657" width="5.6328125" style="150" customWidth="1"/>
    <col min="6658" max="6658" width="3" style="150" customWidth="1"/>
    <col min="6659" max="6659" width="15.36328125" style="150" customWidth="1"/>
    <col min="6660" max="6660" width="9.08984375" style="150" customWidth="1"/>
    <col min="6661" max="6661" width="7.08984375" style="150" customWidth="1"/>
    <col min="6662" max="6662" width="4.08984375" style="150" customWidth="1"/>
    <col min="6663" max="6663" width="7.08984375" style="150" customWidth="1"/>
    <col min="6664" max="6664" width="4.08984375" style="150" customWidth="1"/>
    <col min="6665" max="6665" width="7.08984375" style="150" customWidth="1"/>
    <col min="6666" max="6666" width="4.08984375" style="150" customWidth="1"/>
    <col min="6667" max="6667" width="7.08984375" style="150" customWidth="1"/>
    <col min="6668" max="6668" width="4.08984375" style="150" customWidth="1"/>
    <col min="6669" max="6669" width="7.08984375" style="150" customWidth="1"/>
    <col min="6670" max="6670" width="4.08984375" style="150" customWidth="1"/>
    <col min="6671" max="6671" width="7.08984375" style="150" customWidth="1"/>
    <col min="6672" max="6672" width="4.08984375" style="150" customWidth="1"/>
    <col min="6673" max="6673" width="7.08984375" style="150" customWidth="1"/>
    <col min="6674" max="6674" width="4.08984375" style="150" customWidth="1"/>
    <col min="6675" max="6675" width="7.08984375" style="150" customWidth="1"/>
    <col min="6676" max="6676" width="4.08984375" style="150" customWidth="1"/>
    <col min="6677" max="6677" width="9.08984375" style="150" customWidth="1"/>
    <col min="6678" max="6678" width="7.08984375" style="150" customWidth="1"/>
    <col min="6679" max="6679" width="4.26953125" style="150" customWidth="1"/>
    <col min="6680" max="6680" width="7.08984375" style="150" customWidth="1"/>
    <col min="6681" max="6681" width="4.08984375" style="150" customWidth="1"/>
    <col min="6682" max="6682" width="7.08984375" style="150" customWidth="1"/>
    <col min="6683" max="6683" width="4.08984375" style="150" customWidth="1"/>
    <col min="6684" max="6684" width="7.08984375" style="150" customWidth="1"/>
    <col min="6685" max="6685" width="4.08984375" style="150" customWidth="1"/>
    <col min="6686" max="6686" width="7.08984375" style="150" customWidth="1"/>
    <col min="6687" max="6687" width="4.08984375" style="150" customWidth="1"/>
    <col min="6688" max="6688" width="7.08984375" style="150" customWidth="1"/>
    <col min="6689" max="6689" width="4.08984375" style="150" customWidth="1"/>
    <col min="6690" max="6690" width="7.08984375" style="150" customWidth="1"/>
    <col min="6691" max="6691" width="4.08984375" style="150" customWidth="1"/>
    <col min="6692" max="6692" width="7.08984375" style="150" customWidth="1"/>
    <col min="6693" max="6693" width="4.08984375" style="150" customWidth="1"/>
    <col min="6694" max="6912" width="8.7265625" style="150"/>
    <col min="6913" max="6913" width="5.6328125" style="150" customWidth="1"/>
    <col min="6914" max="6914" width="3" style="150" customWidth="1"/>
    <col min="6915" max="6915" width="15.36328125" style="150" customWidth="1"/>
    <col min="6916" max="6916" width="9.08984375" style="150" customWidth="1"/>
    <col min="6917" max="6917" width="7.08984375" style="150" customWidth="1"/>
    <col min="6918" max="6918" width="4.08984375" style="150" customWidth="1"/>
    <col min="6919" max="6919" width="7.08984375" style="150" customWidth="1"/>
    <col min="6920" max="6920" width="4.08984375" style="150" customWidth="1"/>
    <col min="6921" max="6921" width="7.08984375" style="150" customWidth="1"/>
    <col min="6922" max="6922" width="4.08984375" style="150" customWidth="1"/>
    <col min="6923" max="6923" width="7.08984375" style="150" customWidth="1"/>
    <col min="6924" max="6924" width="4.08984375" style="150" customWidth="1"/>
    <col min="6925" max="6925" width="7.08984375" style="150" customWidth="1"/>
    <col min="6926" max="6926" width="4.08984375" style="150" customWidth="1"/>
    <col min="6927" max="6927" width="7.08984375" style="150" customWidth="1"/>
    <col min="6928" max="6928" width="4.08984375" style="150" customWidth="1"/>
    <col min="6929" max="6929" width="7.08984375" style="150" customWidth="1"/>
    <col min="6930" max="6930" width="4.08984375" style="150" customWidth="1"/>
    <col min="6931" max="6931" width="7.08984375" style="150" customWidth="1"/>
    <col min="6932" max="6932" width="4.08984375" style="150" customWidth="1"/>
    <col min="6933" max="6933" width="9.08984375" style="150" customWidth="1"/>
    <col min="6934" max="6934" width="7.08984375" style="150" customWidth="1"/>
    <col min="6935" max="6935" width="4.26953125" style="150" customWidth="1"/>
    <col min="6936" max="6936" width="7.08984375" style="150" customWidth="1"/>
    <col min="6937" max="6937" width="4.08984375" style="150" customWidth="1"/>
    <col min="6938" max="6938" width="7.08984375" style="150" customWidth="1"/>
    <col min="6939" max="6939" width="4.08984375" style="150" customWidth="1"/>
    <col min="6940" max="6940" width="7.08984375" style="150" customWidth="1"/>
    <col min="6941" max="6941" width="4.08984375" style="150" customWidth="1"/>
    <col min="6942" max="6942" width="7.08984375" style="150" customWidth="1"/>
    <col min="6943" max="6943" width="4.08984375" style="150" customWidth="1"/>
    <col min="6944" max="6944" width="7.08984375" style="150" customWidth="1"/>
    <col min="6945" max="6945" width="4.08984375" style="150" customWidth="1"/>
    <col min="6946" max="6946" width="7.08984375" style="150" customWidth="1"/>
    <col min="6947" max="6947" width="4.08984375" style="150" customWidth="1"/>
    <col min="6948" max="6948" width="7.08984375" style="150" customWidth="1"/>
    <col min="6949" max="6949" width="4.08984375" style="150" customWidth="1"/>
    <col min="6950" max="7168" width="8.7265625" style="150"/>
    <col min="7169" max="7169" width="5.6328125" style="150" customWidth="1"/>
    <col min="7170" max="7170" width="3" style="150" customWidth="1"/>
    <col min="7171" max="7171" width="15.36328125" style="150" customWidth="1"/>
    <col min="7172" max="7172" width="9.08984375" style="150" customWidth="1"/>
    <col min="7173" max="7173" width="7.08984375" style="150" customWidth="1"/>
    <col min="7174" max="7174" width="4.08984375" style="150" customWidth="1"/>
    <col min="7175" max="7175" width="7.08984375" style="150" customWidth="1"/>
    <col min="7176" max="7176" width="4.08984375" style="150" customWidth="1"/>
    <col min="7177" max="7177" width="7.08984375" style="150" customWidth="1"/>
    <col min="7178" max="7178" width="4.08984375" style="150" customWidth="1"/>
    <col min="7179" max="7179" width="7.08984375" style="150" customWidth="1"/>
    <col min="7180" max="7180" width="4.08984375" style="150" customWidth="1"/>
    <col min="7181" max="7181" width="7.08984375" style="150" customWidth="1"/>
    <col min="7182" max="7182" width="4.08984375" style="150" customWidth="1"/>
    <col min="7183" max="7183" width="7.08984375" style="150" customWidth="1"/>
    <col min="7184" max="7184" width="4.08984375" style="150" customWidth="1"/>
    <col min="7185" max="7185" width="7.08984375" style="150" customWidth="1"/>
    <col min="7186" max="7186" width="4.08984375" style="150" customWidth="1"/>
    <col min="7187" max="7187" width="7.08984375" style="150" customWidth="1"/>
    <col min="7188" max="7188" width="4.08984375" style="150" customWidth="1"/>
    <col min="7189" max="7189" width="9.08984375" style="150" customWidth="1"/>
    <col min="7190" max="7190" width="7.08984375" style="150" customWidth="1"/>
    <col min="7191" max="7191" width="4.26953125" style="150" customWidth="1"/>
    <col min="7192" max="7192" width="7.08984375" style="150" customWidth="1"/>
    <col min="7193" max="7193" width="4.08984375" style="150" customWidth="1"/>
    <col min="7194" max="7194" width="7.08984375" style="150" customWidth="1"/>
    <col min="7195" max="7195" width="4.08984375" style="150" customWidth="1"/>
    <col min="7196" max="7196" width="7.08984375" style="150" customWidth="1"/>
    <col min="7197" max="7197" width="4.08984375" style="150" customWidth="1"/>
    <col min="7198" max="7198" width="7.08984375" style="150" customWidth="1"/>
    <col min="7199" max="7199" width="4.08984375" style="150" customWidth="1"/>
    <col min="7200" max="7200" width="7.08984375" style="150" customWidth="1"/>
    <col min="7201" max="7201" width="4.08984375" style="150" customWidth="1"/>
    <col min="7202" max="7202" width="7.08984375" style="150" customWidth="1"/>
    <col min="7203" max="7203" width="4.08984375" style="150" customWidth="1"/>
    <col min="7204" max="7204" width="7.08984375" style="150" customWidth="1"/>
    <col min="7205" max="7205" width="4.08984375" style="150" customWidth="1"/>
    <col min="7206" max="7424" width="8.7265625" style="150"/>
    <col min="7425" max="7425" width="5.6328125" style="150" customWidth="1"/>
    <col min="7426" max="7426" width="3" style="150" customWidth="1"/>
    <col min="7427" max="7427" width="15.36328125" style="150" customWidth="1"/>
    <col min="7428" max="7428" width="9.08984375" style="150" customWidth="1"/>
    <col min="7429" max="7429" width="7.08984375" style="150" customWidth="1"/>
    <col min="7430" max="7430" width="4.08984375" style="150" customWidth="1"/>
    <col min="7431" max="7431" width="7.08984375" style="150" customWidth="1"/>
    <col min="7432" max="7432" width="4.08984375" style="150" customWidth="1"/>
    <col min="7433" max="7433" width="7.08984375" style="150" customWidth="1"/>
    <col min="7434" max="7434" width="4.08984375" style="150" customWidth="1"/>
    <col min="7435" max="7435" width="7.08984375" style="150" customWidth="1"/>
    <col min="7436" max="7436" width="4.08984375" style="150" customWidth="1"/>
    <col min="7437" max="7437" width="7.08984375" style="150" customWidth="1"/>
    <col min="7438" max="7438" width="4.08984375" style="150" customWidth="1"/>
    <col min="7439" max="7439" width="7.08984375" style="150" customWidth="1"/>
    <col min="7440" max="7440" width="4.08984375" style="150" customWidth="1"/>
    <col min="7441" max="7441" width="7.08984375" style="150" customWidth="1"/>
    <col min="7442" max="7442" width="4.08984375" style="150" customWidth="1"/>
    <col min="7443" max="7443" width="7.08984375" style="150" customWidth="1"/>
    <col min="7444" max="7444" width="4.08984375" style="150" customWidth="1"/>
    <col min="7445" max="7445" width="9.08984375" style="150" customWidth="1"/>
    <col min="7446" max="7446" width="7.08984375" style="150" customWidth="1"/>
    <col min="7447" max="7447" width="4.26953125" style="150" customWidth="1"/>
    <col min="7448" max="7448" width="7.08984375" style="150" customWidth="1"/>
    <col min="7449" max="7449" width="4.08984375" style="150" customWidth="1"/>
    <col min="7450" max="7450" width="7.08984375" style="150" customWidth="1"/>
    <col min="7451" max="7451" width="4.08984375" style="150" customWidth="1"/>
    <col min="7452" max="7452" width="7.08984375" style="150" customWidth="1"/>
    <col min="7453" max="7453" width="4.08984375" style="150" customWidth="1"/>
    <col min="7454" max="7454" width="7.08984375" style="150" customWidth="1"/>
    <col min="7455" max="7455" width="4.08984375" style="150" customWidth="1"/>
    <col min="7456" max="7456" width="7.08984375" style="150" customWidth="1"/>
    <col min="7457" max="7457" width="4.08984375" style="150" customWidth="1"/>
    <col min="7458" max="7458" width="7.08984375" style="150" customWidth="1"/>
    <col min="7459" max="7459" width="4.08984375" style="150" customWidth="1"/>
    <col min="7460" max="7460" width="7.08984375" style="150" customWidth="1"/>
    <col min="7461" max="7461" width="4.08984375" style="150" customWidth="1"/>
    <col min="7462" max="7680" width="8.7265625" style="150"/>
    <col min="7681" max="7681" width="5.6328125" style="150" customWidth="1"/>
    <col min="7682" max="7682" width="3" style="150" customWidth="1"/>
    <col min="7683" max="7683" width="15.36328125" style="150" customWidth="1"/>
    <col min="7684" max="7684" width="9.08984375" style="150" customWidth="1"/>
    <col min="7685" max="7685" width="7.08984375" style="150" customWidth="1"/>
    <col min="7686" max="7686" width="4.08984375" style="150" customWidth="1"/>
    <col min="7687" max="7687" width="7.08984375" style="150" customWidth="1"/>
    <col min="7688" max="7688" width="4.08984375" style="150" customWidth="1"/>
    <col min="7689" max="7689" width="7.08984375" style="150" customWidth="1"/>
    <col min="7690" max="7690" width="4.08984375" style="150" customWidth="1"/>
    <col min="7691" max="7691" width="7.08984375" style="150" customWidth="1"/>
    <col min="7692" max="7692" width="4.08984375" style="150" customWidth="1"/>
    <col min="7693" max="7693" width="7.08984375" style="150" customWidth="1"/>
    <col min="7694" max="7694" width="4.08984375" style="150" customWidth="1"/>
    <col min="7695" max="7695" width="7.08984375" style="150" customWidth="1"/>
    <col min="7696" max="7696" width="4.08984375" style="150" customWidth="1"/>
    <col min="7697" max="7697" width="7.08984375" style="150" customWidth="1"/>
    <col min="7698" max="7698" width="4.08984375" style="150" customWidth="1"/>
    <col min="7699" max="7699" width="7.08984375" style="150" customWidth="1"/>
    <col min="7700" max="7700" width="4.08984375" style="150" customWidth="1"/>
    <col min="7701" max="7701" width="9.08984375" style="150" customWidth="1"/>
    <col min="7702" max="7702" width="7.08984375" style="150" customWidth="1"/>
    <col min="7703" max="7703" width="4.26953125" style="150" customWidth="1"/>
    <col min="7704" max="7704" width="7.08984375" style="150" customWidth="1"/>
    <col min="7705" max="7705" width="4.08984375" style="150" customWidth="1"/>
    <col min="7706" max="7706" width="7.08984375" style="150" customWidth="1"/>
    <col min="7707" max="7707" width="4.08984375" style="150" customWidth="1"/>
    <col min="7708" max="7708" width="7.08984375" style="150" customWidth="1"/>
    <col min="7709" max="7709" width="4.08984375" style="150" customWidth="1"/>
    <col min="7710" max="7710" width="7.08984375" style="150" customWidth="1"/>
    <col min="7711" max="7711" width="4.08984375" style="150" customWidth="1"/>
    <col min="7712" max="7712" width="7.08984375" style="150" customWidth="1"/>
    <col min="7713" max="7713" width="4.08984375" style="150" customWidth="1"/>
    <col min="7714" max="7714" width="7.08984375" style="150" customWidth="1"/>
    <col min="7715" max="7715" width="4.08984375" style="150" customWidth="1"/>
    <col min="7716" max="7716" width="7.08984375" style="150" customWidth="1"/>
    <col min="7717" max="7717" width="4.08984375" style="150" customWidth="1"/>
    <col min="7718" max="7936" width="8.7265625" style="150"/>
    <col min="7937" max="7937" width="5.6328125" style="150" customWidth="1"/>
    <col min="7938" max="7938" width="3" style="150" customWidth="1"/>
    <col min="7939" max="7939" width="15.36328125" style="150" customWidth="1"/>
    <col min="7940" max="7940" width="9.08984375" style="150" customWidth="1"/>
    <col min="7941" max="7941" width="7.08984375" style="150" customWidth="1"/>
    <col min="7942" max="7942" width="4.08984375" style="150" customWidth="1"/>
    <col min="7943" max="7943" width="7.08984375" style="150" customWidth="1"/>
    <col min="7944" max="7944" width="4.08984375" style="150" customWidth="1"/>
    <col min="7945" max="7945" width="7.08984375" style="150" customWidth="1"/>
    <col min="7946" max="7946" width="4.08984375" style="150" customWidth="1"/>
    <col min="7947" max="7947" width="7.08984375" style="150" customWidth="1"/>
    <col min="7948" max="7948" width="4.08984375" style="150" customWidth="1"/>
    <col min="7949" max="7949" width="7.08984375" style="150" customWidth="1"/>
    <col min="7950" max="7950" width="4.08984375" style="150" customWidth="1"/>
    <col min="7951" max="7951" width="7.08984375" style="150" customWidth="1"/>
    <col min="7952" max="7952" width="4.08984375" style="150" customWidth="1"/>
    <col min="7953" max="7953" width="7.08984375" style="150" customWidth="1"/>
    <col min="7954" max="7954" width="4.08984375" style="150" customWidth="1"/>
    <col min="7955" max="7955" width="7.08984375" style="150" customWidth="1"/>
    <col min="7956" max="7956" width="4.08984375" style="150" customWidth="1"/>
    <col min="7957" max="7957" width="9.08984375" style="150" customWidth="1"/>
    <col min="7958" max="7958" width="7.08984375" style="150" customWidth="1"/>
    <col min="7959" max="7959" width="4.26953125" style="150" customWidth="1"/>
    <col min="7960" max="7960" width="7.08984375" style="150" customWidth="1"/>
    <col min="7961" max="7961" width="4.08984375" style="150" customWidth="1"/>
    <col min="7962" max="7962" width="7.08984375" style="150" customWidth="1"/>
    <col min="7963" max="7963" width="4.08984375" style="150" customWidth="1"/>
    <col min="7964" max="7964" width="7.08984375" style="150" customWidth="1"/>
    <col min="7965" max="7965" width="4.08984375" style="150" customWidth="1"/>
    <col min="7966" max="7966" width="7.08984375" style="150" customWidth="1"/>
    <col min="7967" max="7967" width="4.08984375" style="150" customWidth="1"/>
    <col min="7968" max="7968" width="7.08984375" style="150" customWidth="1"/>
    <col min="7969" max="7969" width="4.08984375" style="150" customWidth="1"/>
    <col min="7970" max="7970" width="7.08984375" style="150" customWidth="1"/>
    <col min="7971" max="7971" width="4.08984375" style="150" customWidth="1"/>
    <col min="7972" max="7972" width="7.08984375" style="150" customWidth="1"/>
    <col min="7973" max="7973" width="4.08984375" style="150" customWidth="1"/>
    <col min="7974" max="8192" width="8.7265625" style="150"/>
    <col min="8193" max="8193" width="5.6328125" style="150" customWidth="1"/>
    <col min="8194" max="8194" width="3" style="150" customWidth="1"/>
    <col min="8195" max="8195" width="15.36328125" style="150" customWidth="1"/>
    <col min="8196" max="8196" width="9.08984375" style="150" customWidth="1"/>
    <col min="8197" max="8197" width="7.08984375" style="150" customWidth="1"/>
    <col min="8198" max="8198" width="4.08984375" style="150" customWidth="1"/>
    <col min="8199" max="8199" width="7.08984375" style="150" customWidth="1"/>
    <col min="8200" max="8200" width="4.08984375" style="150" customWidth="1"/>
    <col min="8201" max="8201" width="7.08984375" style="150" customWidth="1"/>
    <col min="8202" max="8202" width="4.08984375" style="150" customWidth="1"/>
    <col min="8203" max="8203" width="7.08984375" style="150" customWidth="1"/>
    <col min="8204" max="8204" width="4.08984375" style="150" customWidth="1"/>
    <col min="8205" max="8205" width="7.08984375" style="150" customWidth="1"/>
    <col min="8206" max="8206" width="4.08984375" style="150" customWidth="1"/>
    <col min="8207" max="8207" width="7.08984375" style="150" customWidth="1"/>
    <col min="8208" max="8208" width="4.08984375" style="150" customWidth="1"/>
    <col min="8209" max="8209" width="7.08984375" style="150" customWidth="1"/>
    <col min="8210" max="8210" width="4.08984375" style="150" customWidth="1"/>
    <col min="8211" max="8211" width="7.08984375" style="150" customWidth="1"/>
    <col min="8212" max="8212" width="4.08984375" style="150" customWidth="1"/>
    <col min="8213" max="8213" width="9.08984375" style="150" customWidth="1"/>
    <col min="8214" max="8214" width="7.08984375" style="150" customWidth="1"/>
    <col min="8215" max="8215" width="4.26953125" style="150" customWidth="1"/>
    <col min="8216" max="8216" width="7.08984375" style="150" customWidth="1"/>
    <col min="8217" max="8217" width="4.08984375" style="150" customWidth="1"/>
    <col min="8218" max="8218" width="7.08984375" style="150" customWidth="1"/>
    <col min="8219" max="8219" width="4.08984375" style="150" customWidth="1"/>
    <col min="8220" max="8220" width="7.08984375" style="150" customWidth="1"/>
    <col min="8221" max="8221" width="4.08984375" style="150" customWidth="1"/>
    <col min="8222" max="8222" width="7.08984375" style="150" customWidth="1"/>
    <col min="8223" max="8223" width="4.08984375" style="150" customWidth="1"/>
    <col min="8224" max="8224" width="7.08984375" style="150" customWidth="1"/>
    <col min="8225" max="8225" width="4.08984375" style="150" customWidth="1"/>
    <col min="8226" max="8226" width="7.08984375" style="150" customWidth="1"/>
    <col min="8227" max="8227" width="4.08984375" style="150" customWidth="1"/>
    <col min="8228" max="8228" width="7.08984375" style="150" customWidth="1"/>
    <col min="8229" max="8229" width="4.08984375" style="150" customWidth="1"/>
    <col min="8230" max="8448" width="8.7265625" style="150"/>
    <col min="8449" max="8449" width="5.6328125" style="150" customWidth="1"/>
    <col min="8450" max="8450" width="3" style="150" customWidth="1"/>
    <col min="8451" max="8451" width="15.36328125" style="150" customWidth="1"/>
    <col min="8452" max="8452" width="9.08984375" style="150" customWidth="1"/>
    <col min="8453" max="8453" width="7.08984375" style="150" customWidth="1"/>
    <col min="8454" max="8454" width="4.08984375" style="150" customWidth="1"/>
    <col min="8455" max="8455" width="7.08984375" style="150" customWidth="1"/>
    <col min="8456" max="8456" width="4.08984375" style="150" customWidth="1"/>
    <col min="8457" max="8457" width="7.08984375" style="150" customWidth="1"/>
    <col min="8458" max="8458" width="4.08984375" style="150" customWidth="1"/>
    <col min="8459" max="8459" width="7.08984375" style="150" customWidth="1"/>
    <col min="8460" max="8460" width="4.08984375" style="150" customWidth="1"/>
    <col min="8461" max="8461" width="7.08984375" style="150" customWidth="1"/>
    <col min="8462" max="8462" width="4.08984375" style="150" customWidth="1"/>
    <col min="8463" max="8463" width="7.08984375" style="150" customWidth="1"/>
    <col min="8464" max="8464" width="4.08984375" style="150" customWidth="1"/>
    <col min="8465" max="8465" width="7.08984375" style="150" customWidth="1"/>
    <col min="8466" max="8466" width="4.08984375" style="150" customWidth="1"/>
    <col min="8467" max="8467" width="7.08984375" style="150" customWidth="1"/>
    <col min="8468" max="8468" width="4.08984375" style="150" customWidth="1"/>
    <col min="8469" max="8469" width="9.08984375" style="150" customWidth="1"/>
    <col min="8470" max="8470" width="7.08984375" style="150" customWidth="1"/>
    <col min="8471" max="8471" width="4.26953125" style="150" customWidth="1"/>
    <col min="8472" max="8472" width="7.08984375" style="150" customWidth="1"/>
    <col min="8473" max="8473" width="4.08984375" style="150" customWidth="1"/>
    <col min="8474" max="8474" width="7.08984375" style="150" customWidth="1"/>
    <col min="8475" max="8475" width="4.08984375" style="150" customWidth="1"/>
    <col min="8476" max="8476" width="7.08984375" style="150" customWidth="1"/>
    <col min="8477" max="8477" width="4.08984375" style="150" customWidth="1"/>
    <col min="8478" max="8478" width="7.08984375" style="150" customWidth="1"/>
    <col min="8479" max="8479" width="4.08984375" style="150" customWidth="1"/>
    <col min="8480" max="8480" width="7.08984375" style="150" customWidth="1"/>
    <col min="8481" max="8481" width="4.08984375" style="150" customWidth="1"/>
    <col min="8482" max="8482" width="7.08984375" style="150" customWidth="1"/>
    <col min="8483" max="8483" width="4.08984375" style="150" customWidth="1"/>
    <col min="8484" max="8484" width="7.08984375" style="150" customWidth="1"/>
    <col min="8485" max="8485" width="4.08984375" style="150" customWidth="1"/>
    <col min="8486" max="8704" width="8.7265625" style="150"/>
    <col min="8705" max="8705" width="5.6328125" style="150" customWidth="1"/>
    <col min="8706" max="8706" width="3" style="150" customWidth="1"/>
    <col min="8707" max="8707" width="15.36328125" style="150" customWidth="1"/>
    <col min="8708" max="8708" width="9.08984375" style="150" customWidth="1"/>
    <col min="8709" max="8709" width="7.08984375" style="150" customWidth="1"/>
    <col min="8710" max="8710" width="4.08984375" style="150" customWidth="1"/>
    <col min="8711" max="8711" width="7.08984375" style="150" customWidth="1"/>
    <col min="8712" max="8712" width="4.08984375" style="150" customWidth="1"/>
    <col min="8713" max="8713" width="7.08984375" style="150" customWidth="1"/>
    <col min="8714" max="8714" width="4.08984375" style="150" customWidth="1"/>
    <col min="8715" max="8715" width="7.08984375" style="150" customWidth="1"/>
    <col min="8716" max="8716" width="4.08984375" style="150" customWidth="1"/>
    <col min="8717" max="8717" width="7.08984375" style="150" customWidth="1"/>
    <col min="8718" max="8718" width="4.08984375" style="150" customWidth="1"/>
    <col min="8719" max="8719" width="7.08984375" style="150" customWidth="1"/>
    <col min="8720" max="8720" width="4.08984375" style="150" customWidth="1"/>
    <col min="8721" max="8721" width="7.08984375" style="150" customWidth="1"/>
    <col min="8722" max="8722" width="4.08984375" style="150" customWidth="1"/>
    <col min="8723" max="8723" width="7.08984375" style="150" customWidth="1"/>
    <col min="8724" max="8724" width="4.08984375" style="150" customWidth="1"/>
    <col min="8725" max="8725" width="9.08984375" style="150" customWidth="1"/>
    <col min="8726" max="8726" width="7.08984375" style="150" customWidth="1"/>
    <col min="8727" max="8727" width="4.26953125" style="150" customWidth="1"/>
    <col min="8728" max="8728" width="7.08984375" style="150" customWidth="1"/>
    <col min="8729" max="8729" width="4.08984375" style="150" customWidth="1"/>
    <col min="8730" max="8730" width="7.08984375" style="150" customWidth="1"/>
    <col min="8731" max="8731" width="4.08984375" style="150" customWidth="1"/>
    <col min="8732" max="8732" width="7.08984375" style="150" customWidth="1"/>
    <col min="8733" max="8733" width="4.08984375" style="150" customWidth="1"/>
    <col min="8734" max="8734" width="7.08984375" style="150" customWidth="1"/>
    <col min="8735" max="8735" width="4.08984375" style="150" customWidth="1"/>
    <col min="8736" max="8736" width="7.08984375" style="150" customWidth="1"/>
    <col min="8737" max="8737" width="4.08984375" style="150" customWidth="1"/>
    <col min="8738" max="8738" width="7.08984375" style="150" customWidth="1"/>
    <col min="8739" max="8739" width="4.08984375" style="150" customWidth="1"/>
    <col min="8740" max="8740" width="7.08984375" style="150" customWidth="1"/>
    <col min="8741" max="8741" width="4.08984375" style="150" customWidth="1"/>
    <col min="8742" max="8960" width="8.7265625" style="150"/>
    <col min="8961" max="8961" width="5.6328125" style="150" customWidth="1"/>
    <col min="8962" max="8962" width="3" style="150" customWidth="1"/>
    <col min="8963" max="8963" width="15.36328125" style="150" customWidth="1"/>
    <col min="8964" max="8964" width="9.08984375" style="150" customWidth="1"/>
    <col min="8965" max="8965" width="7.08984375" style="150" customWidth="1"/>
    <col min="8966" max="8966" width="4.08984375" style="150" customWidth="1"/>
    <col min="8967" max="8967" width="7.08984375" style="150" customWidth="1"/>
    <col min="8968" max="8968" width="4.08984375" style="150" customWidth="1"/>
    <col min="8969" max="8969" width="7.08984375" style="150" customWidth="1"/>
    <col min="8970" max="8970" width="4.08984375" style="150" customWidth="1"/>
    <col min="8971" max="8971" width="7.08984375" style="150" customWidth="1"/>
    <col min="8972" max="8972" width="4.08984375" style="150" customWidth="1"/>
    <col min="8973" max="8973" width="7.08984375" style="150" customWidth="1"/>
    <col min="8974" max="8974" width="4.08984375" style="150" customWidth="1"/>
    <col min="8975" max="8975" width="7.08984375" style="150" customWidth="1"/>
    <col min="8976" max="8976" width="4.08984375" style="150" customWidth="1"/>
    <col min="8977" max="8977" width="7.08984375" style="150" customWidth="1"/>
    <col min="8978" max="8978" width="4.08984375" style="150" customWidth="1"/>
    <col min="8979" max="8979" width="7.08984375" style="150" customWidth="1"/>
    <col min="8980" max="8980" width="4.08984375" style="150" customWidth="1"/>
    <col min="8981" max="8981" width="9.08984375" style="150" customWidth="1"/>
    <col min="8982" max="8982" width="7.08984375" style="150" customWidth="1"/>
    <col min="8983" max="8983" width="4.26953125" style="150" customWidth="1"/>
    <col min="8984" max="8984" width="7.08984375" style="150" customWidth="1"/>
    <col min="8985" max="8985" width="4.08984375" style="150" customWidth="1"/>
    <col min="8986" max="8986" width="7.08984375" style="150" customWidth="1"/>
    <col min="8987" max="8987" width="4.08984375" style="150" customWidth="1"/>
    <col min="8988" max="8988" width="7.08984375" style="150" customWidth="1"/>
    <col min="8989" max="8989" width="4.08984375" style="150" customWidth="1"/>
    <col min="8990" max="8990" width="7.08984375" style="150" customWidth="1"/>
    <col min="8991" max="8991" width="4.08984375" style="150" customWidth="1"/>
    <col min="8992" max="8992" width="7.08984375" style="150" customWidth="1"/>
    <col min="8993" max="8993" width="4.08984375" style="150" customWidth="1"/>
    <col min="8994" max="8994" width="7.08984375" style="150" customWidth="1"/>
    <col min="8995" max="8995" width="4.08984375" style="150" customWidth="1"/>
    <col min="8996" max="8996" width="7.08984375" style="150" customWidth="1"/>
    <col min="8997" max="8997" width="4.08984375" style="150" customWidth="1"/>
    <col min="8998" max="9216" width="8.7265625" style="150"/>
    <col min="9217" max="9217" width="5.6328125" style="150" customWidth="1"/>
    <col min="9218" max="9218" width="3" style="150" customWidth="1"/>
    <col min="9219" max="9219" width="15.36328125" style="150" customWidth="1"/>
    <col min="9220" max="9220" width="9.08984375" style="150" customWidth="1"/>
    <col min="9221" max="9221" width="7.08984375" style="150" customWidth="1"/>
    <col min="9222" max="9222" width="4.08984375" style="150" customWidth="1"/>
    <col min="9223" max="9223" width="7.08984375" style="150" customWidth="1"/>
    <col min="9224" max="9224" width="4.08984375" style="150" customWidth="1"/>
    <col min="9225" max="9225" width="7.08984375" style="150" customWidth="1"/>
    <col min="9226" max="9226" width="4.08984375" style="150" customWidth="1"/>
    <col min="9227" max="9227" width="7.08984375" style="150" customWidth="1"/>
    <col min="9228" max="9228" width="4.08984375" style="150" customWidth="1"/>
    <col min="9229" max="9229" width="7.08984375" style="150" customWidth="1"/>
    <col min="9230" max="9230" width="4.08984375" style="150" customWidth="1"/>
    <col min="9231" max="9231" width="7.08984375" style="150" customWidth="1"/>
    <col min="9232" max="9232" width="4.08984375" style="150" customWidth="1"/>
    <col min="9233" max="9233" width="7.08984375" style="150" customWidth="1"/>
    <col min="9234" max="9234" width="4.08984375" style="150" customWidth="1"/>
    <col min="9235" max="9235" width="7.08984375" style="150" customWidth="1"/>
    <col min="9236" max="9236" width="4.08984375" style="150" customWidth="1"/>
    <col min="9237" max="9237" width="9.08984375" style="150" customWidth="1"/>
    <col min="9238" max="9238" width="7.08984375" style="150" customWidth="1"/>
    <col min="9239" max="9239" width="4.26953125" style="150" customWidth="1"/>
    <col min="9240" max="9240" width="7.08984375" style="150" customWidth="1"/>
    <col min="9241" max="9241" width="4.08984375" style="150" customWidth="1"/>
    <col min="9242" max="9242" width="7.08984375" style="150" customWidth="1"/>
    <col min="9243" max="9243" width="4.08984375" style="150" customWidth="1"/>
    <col min="9244" max="9244" width="7.08984375" style="150" customWidth="1"/>
    <col min="9245" max="9245" width="4.08984375" style="150" customWidth="1"/>
    <col min="9246" max="9246" width="7.08984375" style="150" customWidth="1"/>
    <col min="9247" max="9247" width="4.08984375" style="150" customWidth="1"/>
    <col min="9248" max="9248" width="7.08984375" style="150" customWidth="1"/>
    <col min="9249" max="9249" width="4.08984375" style="150" customWidth="1"/>
    <col min="9250" max="9250" width="7.08984375" style="150" customWidth="1"/>
    <col min="9251" max="9251" width="4.08984375" style="150" customWidth="1"/>
    <col min="9252" max="9252" width="7.08984375" style="150" customWidth="1"/>
    <col min="9253" max="9253" width="4.08984375" style="150" customWidth="1"/>
    <col min="9254" max="9472" width="8.7265625" style="150"/>
    <col min="9473" max="9473" width="5.6328125" style="150" customWidth="1"/>
    <col min="9474" max="9474" width="3" style="150" customWidth="1"/>
    <col min="9475" max="9475" width="15.36328125" style="150" customWidth="1"/>
    <col min="9476" max="9476" width="9.08984375" style="150" customWidth="1"/>
    <col min="9477" max="9477" width="7.08984375" style="150" customWidth="1"/>
    <col min="9478" max="9478" width="4.08984375" style="150" customWidth="1"/>
    <col min="9479" max="9479" width="7.08984375" style="150" customWidth="1"/>
    <col min="9480" max="9480" width="4.08984375" style="150" customWidth="1"/>
    <col min="9481" max="9481" width="7.08984375" style="150" customWidth="1"/>
    <col min="9482" max="9482" width="4.08984375" style="150" customWidth="1"/>
    <col min="9483" max="9483" width="7.08984375" style="150" customWidth="1"/>
    <col min="9484" max="9484" width="4.08984375" style="150" customWidth="1"/>
    <col min="9485" max="9485" width="7.08984375" style="150" customWidth="1"/>
    <col min="9486" max="9486" width="4.08984375" style="150" customWidth="1"/>
    <col min="9487" max="9487" width="7.08984375" style="150" customWidth="1"/>
    <col min="9488" max="9488" width="4.08984375" style="150" customWidth="1"/>
    <col min="9489" max="9489" width="7.08984375" style="150" customWidth="1"/>
    <col min="9490" max="9490" width="4.08984375" style="150" customWidth="1"/>
    <col min="9491" max="9491" width="7.08984375" style="150" customWidth="1"/>
    <col min="9492" max="9492" width="4.08984375" style="150" customWidth="1"/>
    <col min="9493" max="9493" width="9.08984375" style="150" customWidth="1"/>
    <col min="9494" max="9494" width="7.08984375" style="150" customWidth="1"/>
    <col min="9495" max="9495" width="4.26953125" style="150" customWidth="1"/>
    <col min="9496" max="9496" width="7.08984375" style="150" customWidth="1"/>
    <col min="9497" max="9497" width="4.08984375" style="150" customWidth="1"/>
    <col min="9498" max="9498" width="7.08984375" style="150" customWidth="1"/>
    <col min="9499" max="9499" width="4.08984375" style="150" customWidth="1"/>
    <col min="9500" max="9500" width="7.08984375" style="150" customWidth="1"/>
    <col min="9501" max="9501" width="4.08984375" style="150" customWidth="1"/>
    <col min="9502" max="9502" width="7.08984375" style="150" customWidth="1"/>
    <col min="9503" max="9503" width="4.08984375" style="150" customWidth="1"/>
    <col min="9504" max="9504" width="7.08984375" style="150" customWidth="1"/>
    <col min="9505" max="9505" width="4.08984375" style="150" customWidth="1"/>
    <col min="9506" max="9506" width="7.08984375" style="150" customWidth="1"/>
    <col min="9507" max="9507" width="4.08984375" style="150" customWidth="1"/>
    <col min="9508" max="9508" width="7.08984375" style="150" customWidth="1"/>
    <col min="9509" max="9509" width="4.08984375" style="150" customWidth="1"/>
    <col min="9510" max="9728" width="8.7265625" style="150"/>
    <col min="9729" max="9729" width="5.6328125" style="150" customWidth="1"/>
    <col min="9730" max="9730" width="3" style="150" customWidth="1"/>
    <col min="9731" max="9731" width="15.36328125" style="150" customWidth="1"/>
    <col min="9732" max="9732" width="9.08984375" style="150" customWidth="1"/>
    <col min="9733" max="9733" width="7.08984375" style="150" customWidth="1"/>
    <col min="9734" max="9734" width="4.08984375" style="150" customWidth="1"/>
    <col min="9735" max="9735" width="7.08984375" style="150" customWidth="1"/>
    <col min="9736" max="9736" width="4.08984375" style="150" customWidth="1"/>
    <col min="9737" max="9737" width="7.08984375" style="150" customWidth="1"/>
    <col min="9738" max="9738" width="4.08984375" style="150" customWidth="1"/>
    <col min="9739" max="9739" width="7.08984375" style="150" customWidth="1"/>
    <col min="9740" max="9740" width="4.08984375" style="150" customWidth="1"/>
    <col min="9741" max="9741" width="7.08984375" style="150" customWidth="1"/>
    <col min="9742" max="9742" width="4.08984375" style="150" customWidth="1"/>
    <col min="9743" max="9743" width="7.08984375" style="150" customWidth="1"/>
    <col min="9744" max="9744" width="4.08984375" style="150" customWidth="1"/>
    <col min="9745" max="9745" width="7.08984375" style="150" customWidth="1"/>
    <col min="9746" max="9746" width="4.08984375" style="150" customWidth="1"/>
    <col min="9747" max="9747" width="7.08984375" style="150" customWidth="1"/>
    <col min="9748" max="9748" width="4.08984375" style="150" customWidth="1"/>
    <col min="9749" max="9749" width="9.08984375" style="150" customWidth="1"/>
    <col min="9750" max="9750" width="7.08984375" style="150" customWidth="1"/>
    <col min="9751" max="9751" width="4.26953125" style="150" customWidth="1"/>
    <col min="9752" max="9752" width="7.08984375" style="150" customWidth="1"/>
    <col min="9753" max="9753" width="4.08984375" style="150" customWidth="1"/>
    <col min="9754" max="9754" width="7.08984375" style="150" customWidth="1"/>
    <col min="9755" max="9755" width="4.08984375" style="150" customWidth="1"/>
    <col min="9756" max="9756" width="7.08984375" style="150" customWidth="1"/>
    <col min="9757" max="9757" width="4.08984375" style="150" customWidth="1"/>
    <col min="9758" max="9758" width="7.08984375" style="150" customWidth="1"/>
    <col min="9759" max="9759" width="4.08984375" style="150" customWidth="1"/>
    <col min="9760" max="9760" width="7.08984375" style="150" customWidth="1"/>
    <col min="9761" max="9761" width="4.08984375" style="150" customWidth="1"/>
    <col min="9762" max="9762" width="7.08984375" style="150" customWidth="1"/>
    <col min="9763" max="9763" width="4.08984375" style="150" customWidth="1"/>
    <col min="9764" max="9764" width="7.08984375" style="150" customWidth="1"/>
    <col min="9765" max="9765" width="4.08984375" style="150" customWidth="1"/>
    <col min="9766" max="9984" width="8.7265625" style="150"/>
    <col min="9985" max="9985" width="5.6328125" style="150" customWidth="1"/>
    <col min="9986" max="9986" width="3" style="150" customWidth="1"/>
    <col min="9987" max="9987" width="15.36328125" style="150" customWidth="1"/>
    <col min="9988" max="9988" width="9.08984375" style="150" customWidth="1"/>
    <col min="9989" max="9989" width="7.08984375" style="150" customWidth="1"/>
    <col min="9990" max="9990" width="4.08984375" style="150" customWidth="1"/>
    <col min="9991" max="9991" width="7.08984375" style="150" customWidth="1"/>
    <col min="9992" max="9992" width="4.08984375" style="150" customWidth="1"/>
    <col min="9993" max="9993" width="7.08984375" style="150" customWidth="1"/>
    <col min="9994" max="9994" width="4.08984375" style="150" customWidth="1"/>
    <col min="9995" max="9995" width="7.08984375" style="150" customWidth="1"/>
    <col min="9996" max="9996" width="4.08984375" style="150" customWidth="1"/>
    <col min="9997" max="9997" width="7.08984375" style="150" customWidth="1"/>
    <col min="9998" max="9998" width="4.08984375" style="150" customWidth="1"/>
    <col min="9999" max="9999" width="7.08984375" style="150" customWidth="1"/>
    <col min="10000" max="10000" width="4.08984375" style="150" customWidth="1"/>
    <col min="10001" max="10001" width="7.08984375" style="150" customWidth="1"/>
    <col min="10002" max="10002" width="4.08984375" style="150" customWidth="1"/>
    <col min="10003" max="10003" width="7.08984375" style="150" customWidth="1"/>
    <col min="10004" max="10004" width="4.08984375" style="150" customWidth="1"/>
    <col min="10005" max="10005" width="9.08984375" style="150" customWidth="1"/>
    <col min="10006" max="10006" width="7.08984375" style="150" customWidth="1"/>
    <col min="10007" max="10007" width="4.26953125" style="150" customWidth="1"/>
    <col min="10008" max="10008" width="7.08984375" style="150" customWidth="1"/>
    <col min="10009" max="10009" width="4.08984375" style="150" customWidth="1"/>
    <col min="10010" max="10010" width="7.08984375" style="150" customWidth="1"/>
    <col min="10011" max="10011" width="4.08984375" style="150" customWidth="1"/>
    <col min="10012" max="10012" width="7.08984375" style="150" customWidth="1"/>
    <col min="10013" max="10013" width="4.08984375" style="150" customWidth="1"/>
    <col min="10014" max="10014" width="7.08984375" style="150" customWidth="1"/>
    <col min="10015" max="10015" width="4.08984375" style="150" customWidth="1"/>
    <col min="10016" max="10016" width="7.08984375" style="150" customWidth="1"/>
    <col min="10017" max="10017" width="4.08984375" style="150" customWidth="1"/>
    <col min="10018" max="10018" width="7.08984375" style="150" customWidth="1"/>
    <col min="10019" max="10019" width="4.08984375" style="150" customWidth="1"/>
    <col min="10020" max="10020" width="7.08984375" style="150" customWidth="1"/>
    <col min="10021" max="10021" width="4.08984375" style="150" customWidth="1"/>
    <col min="10022" max="10240" width="8.7265625" style="150"/>
    <col min="10241" max="10241" width="5.6328125" style="150" customWidth="1"/>
    <col min="10242" max="10242" width="3" style="150" customWidth="1"/>
    <col min="10243" max="10243" width="15.36328125" style="150" customWidth="1"/>
    <col min="10244" max="10244" width="9.08984375" style="150" customWidth="1"/>
    <col min="10245" max="10245" width="7.08984375" style="150" customWidth="1"/>
    <col min="10246" max="10246" width="4.08984375" style="150" customWidth="1"/>
    <col min="10247" max="10247" width="7.08984375" style="150" customWidth="1"/>
    <col min="10248" max="10248" width="4.08984375" style="150" customWidth="1"/>
    <col min="10249" max="10249" width="7.08984375" style="150" customWidth="1"/>
    <col min="10250" max="10250" width="4.08984375" style="150" customWidth="1"/>
    <col min="10251" max="10251" width="7.08984375" style="150" customWidth="1"/>
    <col min="10252" max="10252" width="4.08984375" style="150" customWidth="1"/>
    <col min="10253" max="10253" width="7.08984375" style="150" customWidth="1"/>
    <col min="10254" max="10254" width="4.08984375" style="150" customWidth="1"/>
    <col min="10255" max="10255" width="7.08984375" style="150" customWidth="1"/>
    <col min="10256" max="10256" width="4.08984375" style="150" customWidth="1"/>
    <col min="10257" max="10257" width="7.08984375" style="150" customWidth="1"/>
    <col min="10258" max="10258" width="4.08984375" style="150" customWidth="1"/>
    <col min="10259" max="10259" width="7.08984375" style="150" customWidth="1"/>
    <col min="10260" max="10260" width="4.08984375" style="150" customWidth="1"/>
    <col min="10261" max="10261" width="9.08984375" style="150" customWidth="1"/>
    <col min="10262" max="10262" width="7.08984375" style="150" customWidth="1"/>
    <col min="10263" max="10263" width="4.26953125" style="150" customWidth="1"/>
    <col min="10264" max="10264" width="7.08984375" style="150" customWidth="1"/>
    <col min="10265" max="10265" width="4.08984375" style="150" customWidth="1"/>
    <col min="10266" max="10266" width="7.08984375" style="150" customWidth="1"/>
    <col min="10267" max="10267" width="4.08984375" style="150" customWidth="1"/>
    <col min="10268" max="10268" width="7.08984375" style="150" customWidth="1"/>
    <col min="10269" max="10269" width="4.08984375" style="150" customWidth="1"/>
    <col min="10270" max="10270" width="7.08984375" style="150" customWidth="1"/>
    <col min="10271" max="10271" width="4.08984375" style="150" customWidth="1"/>
    <col min="10272" max="10272" width="7.08984375" style="150" customWidth="1"/>
    <col min="10273" max="10273" width="4.08984375" style="150" customWidth="1"/>
    <col min="10274" max="10274" width="7.08984375" style="150" customWidth="1"/>
    <col min="10275" max="10275" width="4.08984375" style="150" customWidth="1"/>
    <col min="10276" max="10276" width="7.08984375" style="150" customWidth="1"/>
    <col min="10277" max="10277" width="4.08984375" style="150" customWidth="1"/>
    <col min="10278" max="10496" width="8.7265625" style="150"/>
    <col min="10497" max="10497" width="5.6328125" style="150" customWidth="1"/>
    <col min="10498" max="10498" width="3" style="150" customWidth="1"/>
    <col min="10499" max="10499" width="15.36328125" style="150" customWidth="1"/>
    <col min="10500" max="10500" width="9.08984375" style="150" customWidth="1"/>
    <col min="10501" max="10501" width="7.08984375" style="150" customWidth="1"/>
    <col min="10502" max="10502" width="4.08984375" style="150" customWidth="1"/>
    <col min="10503" max="10503" width="7.08984375" style="150" customWidth="1"/>
    <col min="10504" max="10504" width="4.08984375" style="150" customWidth="1"/>
    <col min="10505" max="10505" width="7.08984375" style="150" customWidth="1"/>
    <col min="10506" max="10506" width="4.08984375" style="150" customWidth="1"/>
    <col min="10507" max="10507" width="7.08984375" style="150" customWidth="1"/>
    <col min="10508" max="10508" width="4.08984375" style="150" customWidth="1"/>
    <col min="10509" max="10509" width="7.08984375" style="150" customWidth="1"/>
    <col min="10510" max="10510" width="4.08984375" style="150" customWidth="1"/>
    <col min="10511" max="10511" width="7.08984375" style="150" customWidth="1"/>
    <col min="10512" max="10512" width="4.08984375" style="150" customWidth="1"/>
    <col min="10513" max="10513" width="7.08984375" style="150" customWidth="1"/>
    <col min="10514" max="10514" width="4.08984375" style="150" customWidth="1"/>
    <col min="10515" max="10515" width="7.08984375" style="150" customWidth="1"/>
    <col min="10516" max="10516" width="4.08984375" style="150" customWidth="1"/>
    <col min="10517" max="10517" width="9.08984375" style="150" customWidth="1"/>
    <col min="10518" max="10518" width="7.08984375" style="150" customWidth="1"/>
    <col min="10519" max="10519" width="4.26953125" style="150" customWidth="1"/>
    <col min="10520" max="10520" width="7.08984375" style="150" customWidth="1"/>
    <col min="10521" max="10521" width="4.08984375" style="150" customWidth="1"/>
    <col min="10522" max="10522" width="7.08984375" style="150" customWidth="1"/>
    <col min="10523" max="10523" width="4.08984375" style="150" customWidth="1"/>
    <col min="10524" max="10524" width="7.08984375" style="150" customWidth="1"/>
    <col min="10525" max="10525" width="4.08984375" style="150" customWidth="1"/>
    <col min="10526" max="10526" width="7.08984375" style="150" customWidth="1"/>
    <col min="10527" max="10527" width="4.08984375" style="150" customWidth="1"/>
    <col min="10528" max="10528" width="7.08984375" style="150" customWidth="1"/>
    <col min="10529" max="10529" width="4.08984375" style="150" customWidth="1"/>
    <col min="10530" max="10530" width="7.08984375" style="150" customWidth="1"/>
    <col min="10531" max="10531" width="4.08984375" style="150" customWidth="1"/>
    <col min="10532" max="10532" width="7.08984375" style="150" customWidth="1"/>
    <col min="10533" max="10533" width="4.08984375" style="150" customWidth="1"/>
    <col min="10534" max="10752" width="8.7265625" style="150"/>
    <col min="10753" max="10753" width="5.6328125" style="150" customWidth="1"/>
    <col min="10754" max="10754" width="3" style="150" customWidth="1"/>
    <col min="10755" max="10755" width="15.36328125" style="150" customWidth="1"/>
    <col min="10756" max="10756" width="9.08984375" style="150" customWidth="1"/>
    <col min="10757" max="10757" width="7.08984375" style="150" customWidth="1"/>
    <col min="10758" max="10758" width="4.08984375" style="150" customWidth="1"/>
    <col min="10759" max="10759" width="7.08984375" style="150" customWidth="1"/>
    <col min="10760" max="10760" width="4.08984375" style="150" customWidth="1"/>
    <col min="10761" max="10761" width="7.08984375" style="150" customWidth="1"/>
    <col min="10762" max="10762" width="4.08984375" style="150" customWidth="1"/>
    <col min="10763" max="10763" width="7.08984375" style="150" customWidth="1"/>
    <col min="10764" max="10764" width="4.08984375" style="150" customWidth="1"/>
    <col min="10765" max="10765" width="7.08984375" style="150" customWidth="1"/>
    <col min="10766" max="10766" width="4.08984375" style="150" customWidth="1"/>
    <col min="10767" max="10767" width="7.08984375" style="150" customWidth="1"/>
    <col min="10768" max="10768" width="4.08984375" style="150" customWidth="1"/>
    <col min="10769" max="10769" width="7.08984375" style="150" customWidth="1"/>
    <col min="10770" max="10770" width="4.08984375" style="150" customWidth="1"/>
    <col min="10771" max="10771" width="7.08984375" style="150" customWidth="1"/>
    <col min="10772" max="10772" width="4.08984375" style="150" customWidth="1"/>
    <col min="10773" max="10773" width="9.08984375" style="150" customWidth="1"/>
    <col min="10774" max="10774" width="7.08984375" style="150" customWidth="1"/>
    <col min="10775" max="10775" width="4.26953125" style="150" customWidth="1"/>
    <col min="10776" max="10776" width="7.08984375" style="150" customWidth="1"/>
    <col min="10777" max="10777" width="4.08984375" style="150" customWidth="1"/>
    <col min="10778" max="10778" width="7.08984375" style="150" customWidth="1"/>
    <col min="10779" max="10779" width="4.08984375" style="150" customWidth="1"/>
    <col min="10780" max="10780" width="7.08984375" style="150" customWidth="1"/>
    <col min="10781" max="10781" width="4.08984375" style="150" customWidth="1"/>
    <col min="10782" max="10782" width="7.08984375" style="150" customWidth="1"/>
    <col min="10783" max="10783" width="4.08984375" style="150" customWidth="1"/>
    <col min="10784" max="10784" width="7.08984375" style="150" customWidth="1"/>
    <col min="10785" max="10785" width="4.08984375" style="150" customWidth="1"/>
    <col min="10786" max="10786" width="7.08984375" style="150" customWidth="1"/>
    <col min="10787" max="10787" width="4.08984375" style="150" customWidth="1"/>
    <col min="10788" max="10788" width="7.08984375" style="150" customWidth="1"/>
    <col min="10789" max="10789" width="4.08984375" style="150" customWidth="1"/>
    <col min="10790" max="11008" width="8.7265625" style="150"/>
    <col min="11009" max="11009" width="5.6328125" style="150" customWidth="1"/>
    <col min="11010" max="11010" width="3" style="150" customWidth="1"/>
    <col min="11011" max="11011" width="15.36328125" style="150" customWidth="1"/>
    <col min="11012" max="11012" width="9.08984375" style="150" customWidth="1"/>
    <col min="11013" max="11013" width="7.08984375" style="150" customWidth="1"/>
    <col min="11014" max="11014" width="4.08984375" style="150" customWidth="1"/>
    <col min="11015" max="11015" width="7.08984375" style="150" customWidth="1"/>
    <col min="11016" max="11016" width="4.08984375" style="150" customWidth="1"/>
    <col min="11017" max="11017" width="7.08984375" style="150" customWidth="1"/>
    <col min="11018" max="11018" width="4.08984375" style="150" customWidth="1"/>
    <col min="11019" max="11019" width="7.08984375" style="150" customWidth="1"/>
    <col min="11020" max="11020" width="4.08984375" style="150" customWidth="1"/>
    <col min="11021" max="11021" width="7.08984375" style="150" customWidth="1"/>
    <col min="11022" max="11022" width="4.08984375" style="150" customWidth="1"/>
    <col min="11023" max="11023" width="7.08984375" style="150" customWidth="1"/>
    <col min="11024" max="11024" width="4.08984375" style="150" customWidth="1"/>
    <col min="11025" max="11025" width="7.08984375" style="150" customWidth="1"/>
    <col min="11026" max="11026" width="4.08984375" style="150" customWidth="1"/>
    <col min="11027" max="11027" width="7.08984375" style="150" customWidth="1"/>
    <col min="11028" max="11028" width="4.08984375" style="150" customWidth="1"/>
    <col min="11029" max="11029" width="9.08984375" style="150" customWidth="1"/>
    <col min="11030" max="11030" width="7.08984375" style="150" customWidth="1"/>
    <col min="11031" max="11031" width="4.26953125" style="150" customWidth="1"/>
    <col min="11032" max="11032" width="7.08984375" style="150" customWidth="1"/>
    <col min="11033" max="11033" width="4.08984375" style="150" customWidth="1"/>
    <col min="11034" max="11034" width="7.08984375" style="150" customWidth="1"/>
    <col min="11035" max="11035" width="4.08984375" style="150" customWidth="1"/>
    <col min="11036" max="11036" width="7.08984375" style="150" customWidth="1"/>
    <col min="11037" max="11037" width="4.08984375" style="150" customWidth="1"/>
    <col min="11038" max="11038" width="7.08984375" style="150" customWidth="1"/>
    <col min="11039" max="11039" width="4.08984375" style="150" customWidth="1"/>
    <col min="11040" max="11040" width="7.08984375" style="150" customWidth="1"/>
    <col min="11041" max="11041" width="4.08984375" style="150" customWidth="1"/>
    <col min="11042" max="11042" width="7.08984375" style="150" customWidth="1"/>
    <col min="11043" max="11043" width="4.08984375" style="150" customWidth="1"/>
    <col min="11044" max="11044" width="7.08984375" style="150" customWidth="1"/>
    <col min="11045" max="11045" width="4.08984375" style="150" customWidth="1"/>
    <col min="11046" max="11264" width="8.7265625" style="150"/>
    <col min="11265" max="11265" width="5.6328125" style="150" customWidth="1"/>
    <col min="11266" max="11266" width="3" style="150" customWidth="1"/>
    <col min="11267" max="11267" width="15.36328125" style="150" customWidth="1"/>
    <col min="11268" max="11268" width="9.08984375" style="150" customWidth="1"/>
    <col min="11269" max="11269" width="7.08984375" style="150" customWidth="1"/>
    <col min="11270" max="11270" width="4.08984375" style="150" customWidth="1"/>
    <col min="11271" max="11271" width="7.08984375" style="150" customWidth="1"/>
    <col min="11272" max="11272" width="4.08984375" style="150" customWidth="1"/>
    <col min="11273" max="11273" width="7.08984375" style="150" customWidth="1"/>
    <col min="11274" max="11274" width="4.08984375" style="150" customWidth="1"/>
    <col min="11275" max="11275" width="7.08984375" style="150" customWidth="1"/>
    <col min="11276" max="11276" width="4.08984375" style="150" customWidth="1"/>
    <col min="11277" max="11277" width="7.08984375" style="150" customWidth="1"/>
    <col min="11278" max="11278" width="4.08984375" style="150" customWidth="1"/>
    <col min="11279" max="11279" width="7.08984375" style="150" customWidth="1"/>
    <col min="11280" max="11280" width="4.08984375" style="150" customWidth="1"/>
    <col min="11281" max="11281" width="7.08984375" style="150" customWidth="1"/>
    <col min="11282" max="11282" width="4.08984375" style="150" customWidth="1"/>
    <col min="11283" max="11283" width="7.08984375" style="150" customWidth="1"/>
    <col min="11284" max="11284" width="4.08984375" style="150" customWidth="1"/>
    <col min="11285" max="11285" width="9.08984375" style="150" customWidth="1"/>
    <col min="11286" max="11286" width="7.08984375" style="150" customWidth="1"/>
    <col min="11287" max="11287" width="4.26953125" style="150" customWidth="1"/>
    <col min="11288" max="11288" width="7.08984375" style="150" customWidth="1"/>
    <col min="11289" max="11289" width="4.08984375" style="150" customWidth="1"/>
    <col min="11290" max="11290" width="7.08984375" style="150" customWidth="1"/>
    <col min="11291" max="11291" width="4.08984375" style="150" customWidth="1"/>
    <col min="11292" max="11292" width="7.08984375" style="150" customWidth="1"/>
    <col min="11293" max="11293" width="4.08984375" style="150" customWidth="1"/>
    <col min="11294" max="11294" width="7.08984375" style="150" customWidth="1"/>
    <col min="11295" max="11295" width="4.08984375" style="150" customWidth="1"/>
    <col min="11296" max="11296" width="7.08984375" style="150" customWidth="1"/>
    <col min="11297" max="11297" width="4.08984375" style="150" customWidth="1"/>
    <col min="11298" max="11298" width="7.08984375" style="150" customWidth="1"/>
    <col min="11299" max="11299" width="4.08984375" style="150" customWidth="1"/>
    <col min="11300" max="11300" width="7.08984375" style="150" customWidth="1"/>
    <col min="11301" max="11301" width="4.08984375" style="150" customWidth="1"/>
    <col min="11302" max="11520" width="8.7265625" style="150"/>
    <col min="11521" max="11521" width="5.6328125" style="150" customWidth="1"/>
    <col min="11522" max="11522" width="3" style="150" customWidth="1"/>
    <col min="11523" max="11523" width="15.36328125" style="150" customWidth="1"/>
    <col min="11524" max="11524" width="9.08984375" style="150" customWidth="1"/>
    <col min="11525" max="11525" width="7.08984375" style="150" customWidth="1"/>
    <col min="11526" max="11526" width="4.08984375" style="150" customWidth="1"/>
    <col min="11527" max="11527" width="7.08984375" style="150" customWidth="1"/>
    <col min="11528" max="11528" width="4.08984375" style="150" customWidth="1"/>
    <col min="11529" max="11529" width="7.08984375" style="150" customWidth="1"/>
    <col min="11530" max="11530" width="4.08984375" style="150" customWidth="1"/>
    <col min="11531" max="11531" width="7.08984375" style="150" customWidth="1"/>
    <col min="11532" max="11532" width="4.08984375" style="150" customWidth="1"/>
    <col min="11533" max="11533" width="7.08984375" style="150" customWidth="1"/>
    <col min="11534" max="11534" width="4.08984375" style="150" customWidth="1"/>
    <col min="11535" max="11535" width="7.08984375" style="150" customWidth="1"/>
    <col min="11536" max="11536" width="4.08984375" style="150" customWidth="1"/>
    <col min="11537" max="11537" width="7.08984375" style="150" customWidth="1"/>
    <col min="11538" max="11538" width="4.08984375" style="150" customWidth="1"/>
    <col min="11539" max="11539" width="7.08984375" style="150" customWidth="1"/>
    <col min="11540" max="11540" width="4.08984375" style="150" customWidth="1"/>
    <col min="11541" max="11541" width="9.08984375" style="150" customWidth="1"/>
    <col min="11542" max="11542" width="7.08984375" style="150" customWidth="1"/>
    <col min="11543" max="11543" width="4.26953125" style="150" customWidth="1"/>
    <col min="11544" max="11544" width="7.08984375" style="150" customWidth="1"/>
    <col min="11545" max="11545" width="4.08984375" style="150" customWidth="1"/>
    <col min="11546" max="11546" width="7.08984375" style="150" customWidth="1"/>
    <col min="11547" max="11547" width="4.08984375" style="150" customWidth="1"/>
    <col min="11548" max="11548" width="7.08984375" style="150" customWidth="1"/>
    <col min="11549" max="11549" width="4.08984375" style="150" customWidth="1"/>
    <col min="11550" max="11550" width="7.08984375" style="150" customWidth="1"/>
    <col min="11551" max="11551" width="4.08984375" style="150" customWidth="1"/>
    <col min="11552" max="11552" width="7.08984375" style="150" customWidth="1"/>
    <col min="11553" max="11553" width="4.08984375" style="150" customWidth="1"/>
    <col min="11554" max="11554" width="7.08984375" style="150" customWidth="1"/>
    <col min="11555" max="11555" width="4.08984375" style="150" customWidth="1"/>
    <col min="11556" max="11556" width="7.08984375" style="150" customWidth="1"/>
    <col min="11557" max="11557" width="4.08984375" style="150" customWidth="1"/>
    <col min="11558" max="11776" width="8.7265625" style="150"/>
    <col min="11777" max="11777" width="5.6328125" style="150" customWidth="1"/>
    <col min="11778" max="11778" width="3" style="150" customWidth="1"/>
    <col min="11779" max="11779" width="15.36328125" style="150" customWidth="1"/>
    <col min="11780" max="11780" width="9.08984375" style="150" customWidth="1"/>
    <col min="11781" max="11781" width="7.08984375" style="150" customWidth="1"/>
    <col min="11782" max="11782" width="4.08984375" style="150" customWidth="1"/>
    <col min="11783" max="11783" width="7.08984375" style="150" customWidth="1"/>
    <col min="11784" max="11784" width="4.08984375" style="150" customWidth="1"/>
    <col min="11785" max="11785" width="7.08984375" style="150" customWidth="1"/>
    <col min="11786" max="11786" width="4.08984375" style="150" customWidth="1"/>
    <col min="11787" max="11787" width="7.08984375" style="150" customWidth="1"/>
    <col min="11788" max="11788" width="4.08984375" style="150" customWidth="1"/>
    <col min="11789" max="11789" width="7.08984375" style="150" customWidth="1"/>
    <col min="11790" max="11790" width="4.08984375" style="150" customWidth="1"/>
    <col min="11791" max="11791" width="7.08984375" style="150" customWidth="1"/>
    <col min="11792" max="11792" width="4.08984375" style="150" customWidth="1"/>
    <col min="11793" max="11793" width="7.08984375" style="150" customWidth="1"/>
    <col min="11794" max="11794" width="4.08984375" style="150" customWidth="1"/>
    <col min="11795" max="11795" width="7.08984375" style="150" customWidth="1"/>
    <col min="11796" max="11796" width="4.08984375" style="150" customWidth="1"/>
    <col min="11797" max="11797" width="9.08984375" style="150" customWidth="1"/>
    <col min="11798" max="11798" width="7.08984375" style="150" customWidth="1"/>
    <col min="11799" max="11799" width="4.26953125" style="150" customWidth="1"/>
    <col min="11800" max="11800" width="7.08984375" style="150" customWidth="1"/>
    <col min="11801" max="11801" width="4.08984375" style="150" customWidth="1"/>
    <col min="11802" max="11802" width="7.08984375" style="150" customWidth="1"/>
    <col min="11803" max="11803" width="4.08984375" style="150" customWidth="1"/>
    <col min="11804" max="11804" width="7.08984375" style="150" customWidth="1"/>
    <col min="11805" max="11805" width="4.08984375" style="150" customWidth="1"/>
    <col min="11806" max="11806" width="7.08984375" style="150" customWidth="1"/>
    <col min="11807" max="11807" width="4.08984375" style="150" customWidth="1"/>
    <col min="11808" max="11808" width="7.08984375" style="150" customWidth="1"/>
    <col min="11809" max="11809" width="4.08984375" style="150" customWidth="1"/>
    <col min="11810" max="11810" width="7.08984375" style="150" customWidth="1"/>
    <col min="11811" max="11811" width="4.08984375" style="150" customWidth="1"/>
    <col min="11812" max="11812" width="7.08984375" style="150" customWidth="1"/>
    <col min="11813" max="11813" width="4.08984375" style="150" customWidth="1"/>
    <col min="11814" max="12032" width="8.7265625" style="150"/>
    <col min="12033" max="12033" width="5.6328125" style="150" customWidth="1"/>
    <col min="12034" max="12034" width="3" style="150" customWidth="1"/>
    <col min="12035" max="12035" width="15.36328125" style="150" customWidth="1"/>
    <col min="12036" max="12036" width="9.08984375" style="150" customWidth="1"/>
    <col min="12037" max="12037" width="7.08984375" style="150" customWidth="1"/>
    <col min="12038" max="12038" width="4.08984375" style="150" customWidth="1"/>
    <col min="12039" max="12039" width="7.08984375" style="150" customWidth="1"/>
    <col min="12040" max="12040" width="4.08984375" style="150" customWidth="1"/>
    <col min="12041" max="12041" width="7.08984375" style="150" customWidth="1"/>
    <col min="12042" max="12042" width="4.08984375" style="150" customWidth="1"/>
    <col min="12043" max="12043" width="7.08984375" style="150" customWidth="1"/>
    <col min="12044" max="12044" width="4.08984375" style="150" customWidth="1"/>
    <col min="12045" max="12045" width="7.08984375" style="150" customWidth="1"/>
    <col min="12046" max="12046" width="4.08984375" style="150" customWidth="1"/>
    <col min="12047" max="12047" width="7.08984375" style="150" customWidth="1"/>
    <col min="12048" max="12048" width="4.08984375" style="150" customWidth="1"/>
    <col min="12049" max="12049" width="7.08984375" style="150" customWidth="1"/>
    <col min="12050" max="12050" width="4.08984375" style="150" customWidth="1"/>
    <col min="12051" max="12051" width="7.08984375" style="150" customWidth="1"/>
    <col min="12052" max="12052" width="4.08984375" style="150" customWidth="1"/>
    <col min="12053" max="12053" width="9.08984375" style="150" customWidth="1"/>
    <col min="12054" max="12054" width="7.08984375" style="150" customWidth="1"/>
    <col min="12055" max="12055" width="4.26953125" style="150" customWidth="1"/>
    <col min="12056" max="12056" width="7.08984375" style="150" customWidth="1"/>
    <col min="12057" max="12057" width="4.08984375" style="150" customWidth="1"/>
    <col min="12058" max="12058" width="7.08984375" style="150" customWidth="1"/>
    <col min="12059" max="12059" width="4.08984375" style="150" customWidth="1"/>
    <col min="12060" max="12060" width="7.08984375" style="150" customWidth="1"/>
    <col min="12061" max="12061" width="4.08984375" style="150" customWidth="1"/>
    <col min="12062" max="12062" width="7.08984375" style="150" customWidth="1"/>
    <col min="12063" max="12063" width="4.08984375" style="150" customWidth="1"/>
    <col min="12064" max="12064" width="7.08984375" style="150" customWidth="1"/>
    <col min="12065" max="12065" width="4.08984375" style="150" customWidth="1"/>
    <col min="12066" max="12066" width="7.08984375" style="150" customWidth="1"/>
    <col min="12067" max="12067" width="4.08984375" style="150" customWidth="1"/>
    <col min="12068" max="12068" width="7.08984375" style="150" customWidth="1"/>
    <col min="12069" max="12069" width="4.08984375" style="150" customWidth="1"/>
    <col min="12070" max="12288" width="8.7265625" style="150"/>
    <col min="12289" max="12289" width="5.6328125" style="150" customWidth="1"/>
    <col min="12290" max="12290" width="3" style="150" customWidth="1"/>
    <col min="12291" max="12291" width="15.36328125" style="150" customWidth="1"/>
    <col min="12292" max="12292" width="9.08984375" style="150" customWidth="1"/>
    <col min="12293" max="12293" width="7.08984375" style="150" customWidth="1"/>
    <col min="12294" max="12294" width="4.08984375" style="150" customWidth="1"/>
    <col min="12295" max="12295" width="7.08984375" style="150" customWidth="1"/>
    <col min="12296" max="12296" width="4.08984375" style="150" customWidth="1"/>
    <col min="12297" max="12297" width="7.08984375" style="150" customWidth="1"/>
    <col min="12298" max="12298" width="4.08984375" style="150" customWidth="1"/>
    <col min="12299" max="12299" width="7.08984375" style="150" customWidth="1"/>
    <col min="12300" max="12300" width="4.08984375" style="150" customWidth="1"/>
    <col min="12301" max="12301" width="7.08984375" style="150" customWidth="1"/>
    <col min="12302" max="12302" width="4.08984375" style="150" customWidth="1"/>
    <col min="12303" max="12303" width="7.08984375" style="150" customWidth="1"/>
    <col min="12304" max="12304" width="4.08984375" style="150" customWidth="1"/>
    <col min="12305" max="12305" width="7.08984375" style="150" customWidth="1"/>
    <col min="12306" max="12306" width="4.08984375" style="150" customWidth="1"/>
    <col min="12307" max="12307" width="7.08984375" style="150" customWidth="1"/>
    <col min="12308" max="12308" width="4.08984375" style="150" customWidth="1"/>
    <col min="12309" max="12309" width="9.08984375" style="150" customWidth="1"/>
    <col min="12310" max="12310" width="7.08984375" style="150" customWidth="1"/>
    <col min="12311" max="12311" width="4.26953125" style="150" customWidth="1"/>
    <col min="12312" max="12312" width="7.08984375" style="150" customWidth="1"/>
    <col min="12313" max="12313" width="4.08984375" style="150" customWidth="1"/>
    <col min="12314" max="12314" width="7.08984375" style="150" customWidth="1"/>
    <col min="12315" max="12315" width="4.08984375" style="150" customWidth="1"/>
    <col min="12316" max="12316" width="7.08984375" style="150" customWidth="1"/>
    <col min="12317" max="12317" width="4.08984375" style="150" customWidth="1"/>
    <col min="12318" max="12318" width="7.08984375" style="150" customWidth="1"/>
    <col min="12319" max="12319" width="4.08984375" style="150" customWidth="1"/>
    <col min="12320" max="12320" width="7.08984375" style="150" customWidth="1"/>
    <col min="12321" max="12321" width="4.08984375" style="150" customWidth="1"/>
    <col min="12322" max="12322" width="7.08984375" style="150" customWidth="1"/>
    <col min="12323" max="12323" width="4.08984375" style="150" customWidth="1"/>
    <col min="12324" max="12324" width="7.08984375" style="150" customWidth="1"/>
    <col min="12325" max="12325" width="4.08984375" style="150" customWidth="1"/>
    <col min="12326" max="12544" width="8.7265625" style="150"/>
    <col min="12545" max="12545" width="5.6328125" style="150" customWidth="1"/>
    <col min="12546" max="12546" width="3" style="150" customWidth="1"/>
    <col min="12547" max="12547" width="15.36328125" style="150" customWidth="1"/>
    <col min="12548" max="12548" width="9.08984375" style="150" customWidth="1"/>
    <col min="12549" max="12549" width="7.08984375" style="150" customWidth="1"/>
    <col min="12550" max="12550" width="4.08984375" style="150" customWidth="1"/>
    <col min="12551" max="12551" width="7.08984375" style="150" customWidth="1"/>
    <col min="12552" max="12552" width="4.08984375" style="150" customWidth="1"/>
    <col min="12553" max="12553" width="7.08984375" style="150" customWidth="1"/>
    <col min="12554" max="12554" width="4.08984375" style="150" customWidth="1"/>
    <col min="12555" max="12555" width="7.08984375" style="150" customWidth="1"/>
    <col min="12556" max="12556" width="4.08984375" style="150" customWidth="1"/>
    <col min="12557" max="12557" width="7.08984375" style="150" customWidth="1"/>
    <col min="12558" max="12558" width="4.08984375" style="150" customWidth="1"/>
    <col min="12559" max="12559" width="7.08984375" style="150" customWidth="1"/>
    <col min="12560" max="12560" width="4.08984375" style="150" customWidth="1"/>
    <col min="12561" max="12561" width="7.08984375" style="150" customWidth="1"/>
    <col min="12562" max="12562" width="4.08984375" style="150" customWidth="1"/>
    <col min="12563" max="12563" width="7.08984375" style="150" customWidth="1"/>
    <col min="12564" max="12564" width="4.08984375" style="150" customWidth="1"/>
    <col min="12565" max="12565" width="9.08984375" style="150" customWidth="1"/>
    <col min="12566" max="12566" width="7.08984375" style="150" customWidth="1"/>
    <col min="12567" max="12567" width="4.26953125" style="150" customWidth="1"/>
    <col min="12568" max="12568" width="7.08984375" style="150" customWidth="1"/>
    <col min="12569" max="12569" width="4.08984375" style="150" customWidth="1"/>
    <col min="12570" max="12570" width="7.08984375" style="150" customWidth="1"/>
    <col min="12571" max="12571" width="4.08984375" style="150" customWidth="1"/>
    <col min="12572" max="12572" width="7.08984375" style="150" customWidth="1"/>
    <col min="12573" max="12573" width="4.08984375" style="150" customWidth="1"/>
    <col min="12574" max="12574" width="7.08984375" style="150" customWidth="1"/>
    <col min="12575" max="12575" width="4.08984375" style="150" customWidth="1"/>
    <col min="12576" max="12576" width="7.08984375" style="150" customWidth="1"/>
    <col min="12577" max="12577" width="4.08984375" style="150" customWidth="1"/>
    <col min="12578" max="12578" width="7.08984375" style="150" customWidth="1"/>
    <col min="12579" max="12579" width="4.08984375" style="150" customWidth="1"/>
    <col min="12580" max="12580" width="7.08984375" style="150" customWidth="1"/>
    <col min="12581" max="12581" width="4.08984375" style="150" customWidth="1"/>
    <col min="12582" max="12800" width="8.7265625" style="150"/>
    <col min="12801" max="12801" width="5.6328125" style="150" customWidth="1"/>
    <col min="12802" max="12802" width="3" style="150" customWidth="1"/>
    <col min="12803" max="12803" width="15.36328125" style="150" customWidth="1"/>
    <col min="12804" max="12804" width="9.08984375" style="150" customWidth="1"/>
    <col min="12805" max="12805" width="7.08984375" style="150" customWidth="1"/>
    <col min="12806" max="12806" width="4.08984375" style="150" customWidth="1"/>
    <col min="12807" max="12807" width="7.08984375" style="150" customWidth="1"/>
    <col min="12808" max="12808" width="4.08984375" style="150" customWidth="1"/>
    <col min="12809" max="12809" width="7.08984375" style="150" customWidth="1"/>
    <col min="12810" max="12810" width="4.08984375" style="150" customWidth="1"/>
    <col min="12811" max="12811" width="7.08984375" style="150" customWidth="1"/>
    <col min="12812" max="12812" width="4.08984375" style="150" customWidth="1"/>
    <col min="12813" max="12813" width="7.08984375" style="150" customWidth="1"/>
    <col min="12814" max="12814" width="4.08984375" style="150" customWidth="1"/>
    <col min="12815" max="12815" width="7.08984375" style="150" customWidth="1"/>
    <col min="12816" max="12816" width="4.08984375" style="150" customWidth="1"/>
    <col min="12817" max="12817" width="7.08984375" style="150" customWidth="1"/>
    <col min="12818" max="12818" width="4.08984375" style="150" customWidth="1"/>
    <col min="12819" max="12819" width="7.08984375" style="150" customWidth="1"/>
    <col min="12820" max="12820" width="4.08984375" style="150" customWidth="1"/>
    <col min="12821" max="12821" width="9.08984375" style="150" customWidth="1"/>
    <col min="12822" max="12822" width="7.08984375" style="150" customWidth="1"/>
    <col min="12823" max="12823" width="4.26953125" style="150" customWidth="1"/>
    <col min="12824" max="12824" width="7.08984375" style="150" customWidth="1"/>
    <col min="12825" max="12825" width="4.08984375" style="150" customWidth="1"/>
    <col min="12826" max="12826" width="7.08984375" style="150" customWidth="1"/>
    <col min="12827" max="12827" width="4.08984375" style="150" customWidth="1"/>
    <col min="12828" max="12828" width="7.08984375" style="150" customWidth="1"/>
    <col min="12829" max="12829" width="4.08984375" style="150" customWidth="1"/>
    <col min="12830" max="12830" width="7.08984375" style="150" customWidth="1"/>
    <col min="12831" max="12831" width="4.08984375" style="150" customWidth="1"/>
    <col min="12832" max="12832" width="7.08984375" style="150" customWidth="1"/>
    <col min="12833" max="12833" width="4.08984375" style="150" customWidth="1"/>
    <col min="12834" max="12834" width="7.08984375" style="150" customWidth="1"/>
    <col min="12835" max="12835" width="4.08984375" style="150" customWidth="1"/>
    <col min="12836" max="12836" width="7.08984375" style="150" customWidth="1"/>
    <col min="12837" max="12837" width="4.08984375" style="150" customWidth="1"/>
    <col min="12838" max="13056" width="8.7265625" style="150"/>
    <col min="13057" max="13057" width="5.6328125" style="150" customWidth="1"/>
    <col min="13058" max="13058" width="3" style="150" customWidth="1"/>
    <col min="13059" max="13059" width="15.36328125" style="150" customWidth="1"/>
    <col min="13060" max="13060" width="9.08984375" style="150" customWidth="1"/>
    <col min="13061" max="13061" width="7.08984375" style="150" customWidth="1"/>
    <col min="13062" max="13062" width="4.08984375" style="150" customWidth="1"/>
    <col min="13063" max="13063" width="7.08984375" style="150" customWidth="1"/>
    <col min="13064" max="13064" width="4.08984375" style="150" customWidth="1"/>
    <col min="13065" max="13065" width="7.08984375" style="150" customWidth="1"/>
    <col min="13066" max="13066" width="4.08984375" style="150" customWidth="1"/>
    <col min="13067" max="13067" width="7.08984375" style="150" customWidth="1"/>
    <col min="13068" max="13068" width="4.08984375" style="150" customWidth="1"/>
    <col min="13069" max="13069" width="7.08984375" style="150" customWidth="1"/>
    <col min="13070" max="13070" width="4.08984375" style="150" customWidth="1"/>
    <col min="13071" max="13071" width="7.08984375" style="150" customWidth="1"/>
    <col min="13072" max="13072" width="4.08984375" style="150" customWidth="1"/>
    <col min="13073" max="13073" width="7.08984375" style="150" customWidth="1"/>
    <col min="13074" max="13074" width="4.08984375" style="150" customWidth="1"/>
    <col min="13075" max="13075" width="7.08984375" style="150" customWidth="1"/>
    <col min="13076" max="13076" width="4.08984375" style="150" customWidth="1"/>
    <col min="13077" max="13077" width="9.08984375" style="150" customWidth="1"/>
    <col min="13078" max="13078" width="7.08984375" style="150" customWidth="1"/>
    <col min="13079" max="13079" width="4.26953125" style="150" customWidth="1"/>
    <col min="13080" max="13080" width="7.08984375" style="150" customWidth="1"/>
    <col min="13081" max="13081" width="4.08984375" style="150" customWidth="1"/>
    <col min="13082" max="13082" width="7.08984375" style="150" customWidth="1"/>
    <col min="13083" max="13083" width="4.08984375" style="150" customWidth="1"/>
    <col min="13084" max="13084" width="7.08984375" style="150" customWidth="1"/>
    <col min="13085" max="13085" width="4.08984375" style="150" customWidth="1"/>
    <col min="13086" max="13086" width="7.08984375" style="150" customWidth="1"/>
    <col min="13087" max="13087" width="4.08984375" style="150" customWidth="1"/>
    <col min="13088" max="13088" width="7.08984375" style="150" customWidth="1"/>
    <col min="13089" max="13089" width="4.08984375" style="150" customWidth="1"/>
    <col min="13090" max="13090" width="7.08984375" style="150" customWidth="1"/>
    <col min="13091" max="13091" width="4.08984375" style="150" customWidth="1"/>
    <col min="13092" max="13092" width="7.08984375" style="150" customWidth="1"/>
    <col min="13093" max="13093" width="4.08984375" style="150" customWidth="1"/>
    <col min="13094" max="13312" width="8.7265625" style="150"/>
    <col min="13313" max="13313" width="5.6328125" style="150" customWidth="1"/>
    <col min="13314" max="13314" width="3" style="150" customWidth="1"/>
    <col min="13315" max="13315" width="15.36328125" style="150" customWidth="1"/>
    <col min="13316" max="13316" width="9.08984375" style="150" customWidth="1"/>
    <col min="13317" max="13317" width="7.08984375" style="150" customWidth="1"/>
    <col min="13318" max="13318" width="4.08984375" style="150" customWidth="1"/>
    <col min="13319" max="13319" width="7.08984375" style="150" customWidth="1"/>
    <col min="13320" max="13320" width="4.08984375" style="150" customWidth="1"/>
    <col min="13321" max="13321" width="7.08984375" style="150" customWidth="1"/>
    <col min="13322" max="13322" width="4.08984375" style="150" customWidth="1"/>
    <col min="13323" max="13323" width="7.08984375" style="150" customWidth="1"/>
    <col min="13324" max="13324" width="4.08984375" style="150" customWidth="1"/>
    <col min="13325" max="13325" width="7.08984375" style="150" customWidth="1"/>
    <col min="13326" max="13326" width="4.08984375" style="150" customWidth="1"/>
    <col min="13327" max="13327" width="7.08984375" style="150" customWidth="1"/>
    <col min="13328" max="13328" width="4.08984375" style="150" customWidth="1"/>
    <col min="13329" max="13329" width="7.08984375" style="150" customWidth="1"/>
    <col min="13330" max="13330" width="4.08984375" style="150" customWidth="1"/>
    <col min="13331" max="13331" width="7.08984375" style="150" customWidth="1"/>
    <col min="13332" max="13332" width="4.08984375" style="150" customWidth="1"/>
    <col min="13333" max="13333" width="9.08984375" style="150" customWidth="1"/>
    <col min="13334" max="13334" width="7.08984375" style="150" customWidth="1"/>
    <col min="13335" max="13335" width="4.26953125" style="150" customWidth="1"/>
    <col min="13336" max="13336" width="7.08984375" style="150" customWidth="1"/>
    <col min="13337" max="13337" width="4.08984375" style="150" customWidth="1"/>
    <col min="13338" max="13338" width="7.08984375" style="150" customWidth="1"/>
    <col min="13339" max="13339" width="4.08984375" style="150" customWidth="1"/>
    <col min="13340" max="13340" width="7.08984375" style="150" customWidth="1"/>
    <col min="13341" max="13341" width="4.08984375" style="150" customWidth="1"/>
    <col min="13342" max="13342" width="7.08984375" style="150" customWidth="1"/>
    <col min="13343" max="13343" width="4.08984375" style="150" customWidth="1"/>
    <col min="13344" max="13344" width="7.08984375" style="150" customWidth="1"/>
    <col min="13345" max="13345" width="4.08984375" style="150" customWidth="1"/>
    <col min="13346" max="13346" width="7.08984375" style="150" customWidth="1"/>
    <col min="13347" max="13347" width="4.08984375" style="150" customWidth="1"/>
    <col min="13348" max="13348" width="7.08984375" style="150" customWidth="1"/>
    <col min="13349" max="13349" width="4.08984375" style="150" customWidth="1"/>
    <col min="13350" max="13568" width="8.7265625" style="150"/>
    <col min="13569" max="13569" width="5.6328125" style="150" customWidth="1"/>
    <col min="13570" max="13570" width="3" style="150" customWidth="1"/>
    <col min="13571" max="13571" width="15.36328125" style="150" customWidth="1"/>
    <col min="13572" max="13572" width="9.08984375" style="150" customWidth="1"/>
    <col min="13573" max="13573" width="7.08984375" style="150" customWidth="1"/>
    <col min="13574" max="13574" width="4.08984375" style="150" customWidth="1"/>
    <col min="13575" max="13575" width="7.08984375" style="150" customWidth="1"/>
    <col min="13576" max="13576" width="4.08984375" style="150" customWidth="1"/>
    <col min="13577" max="13577" width="7.08984375" style="150" customWidth="1"/>
    <col min="13578" max="13578" width="4.08984375" style="150" customWidth="1"/>
    <col min="13579" max="13579" width="7.08984375" style="150" customWidth="1"/>
    <col min="13580" max="13580" width="4.08984375" style="150" customWidth="1"/>
    <col min="13581" max="13581" width="7.08984375" style="150" customWidth="1"/>
    <col min="13582" max="13582" width="4.08984375" style="150" customWidth="1"/>
    <col min="13583" max="13583" width="7.08984375" style="150" customWidth="1"/>
    <col min="13584" max="13584" width="4.08984375" style="150" customWidth="1"/>
    <col min="13585" max="13585" width="7.08984375" style="150" customWidth="1"/>
    <col min="13586" max="13586" width="4.08984375" style="150" customWidth="1"/>
    <col min="13587" max="13587" width="7.08984375" style="150" customWidth="1"/>
    <col min="13588" max="13588" width="4.08984375" style="150" customWidth="1"/>
    <col min="13589" max="13589" width="9.08984375" style="150" customWidth="1"/>
    <col min="13590" max="13590" width="7.08984375" style="150" customWidth="1"/>
    <col min="13591" max="13591" width="4.26953125" style="150" customWidth="1"/>
    <col min="13592" max="13592" width="7.08984375" style="150" customWidth="1"/>
    <col min="13593" max="13593" width="4.08984375" style="150" customWidth="1"/>
    <col min="13594" max="13594" width="7.08984375" style="150" customWidth="1"/>
    <col min="13595" max="13595" width="4.08984375" style="150" customWidth="1"/>
    <col min="13596" max="13596" width="7.08984375" style="150" customWidth="1"/>
    <col min="13597" max="13597" width="4.08984375" style="150" customWidth="1"/>
    <col min="13598" max="13598" width="7.08984375" style="150" customWidth="1"/>
    <col min="13599" max="13599" width="4.08984375" style="150" customWidth="1"/>
    <col min="13600" max="13600" width="7.08984375" style="150" customWidth="1"/>
    <col min="13601" max="13601" width="4.08984375" style="150" customWidth="1"/>
    <col min="13602" max="13602" width="7.08984375" style="150" customWidth="1"/>
    <col min="13603" max="13603" width="4.08984375" style="150" customWidth="1"/>
    <col min="13604" max="13604" width="7.08984375" style="150" customWidth="1"/>
    <col min="13605" max="13605" width="4.08984375" style="150" customWidth="1"/>
    <col min="13606" max="13824" width="8.7265625" style="150"/>
    <col min="13825" max="13825" width="5.6328125" style="150" customWidth="1"/>
    <col min="13826" max="13826" width="3" style="150" customWidth="1"/>
    <col min="13827" max="13827" width="15.36328125" style="150" customWidth="1"/>
    <col min="13828" max="13828" width="9.08984375" style="150" customWidth="1"/>
    <col min="13829" max="13829" width="7.08984375" style="150" customWidth="1"/>
    <col min="13830" max="13830" width="4.08984375" style="150" customWidth="1"/>
    <col min="13831" max="13831" width="7.08984375" style="150" customWidth="1"/>
    <col min="13832" max="13832" width="4.08984375" style="150" customWidth="1"/>
    <col min="13833" max="13833" width="7.08984375" style="150" customWidth="1"/>
    <col min="13834" max="13834" width="4.08984375" style="150" customWidth="1"/>
    <col min="13835" max="13835" width="7.08984375" style="150" customWidth="1"/>
    <col min="13836" max="13836" width="4.08984375" style="150" customWidth="1"/>
    <col min="13837" max="13837" width="7.08984375" style="150" customWidth="1"/>
    <col min="13838" max="13838" width="4.08984375" style="150" customWidth="1"/>
    <col min="13839" max="13839" width="7.08984375" style="150" customWidth="1"/>
    <col min="13840" max="13840" width="4.08984375" style="150" customWidth="1"/>
    <col min="13841" max="13841" width="7.08984375" style="150" customWidth="1"/>
    <col min="13842" max="13842" width="4.08984375" style="150" customWidth="1"/>
    <col min="13843" max="13843" width="7.08984375" style="150" customWidth="1"/>
    <col min="13844" max="13844" width="4.08984375" style="150" customWidth="1"/>
    <col min="13845" max="13845" width="9.08984375" style="150" customWidth="1"/>
    <col min="13846" max="13846" width="7.08984375" style="150" customWidth="1"/>
    <col min="13847" max="13847" width="4.26953125" style="150" customWidth="1"/>
    <col min="13848" max="13848" width="7.08984375" style="150" customWidth="1"/>
    <col min="13849" max="13849" width="4.08984375" style="150" customWidth="1"/>
    <col min="13850" max="13850" width="7.08984375" style="150" customWidth="1"/>
    <col min="13851" max="13851" width="4.08984375" style="150" customWidth="1"/>
    <col min="13852" max="13852" width="7.08984375" style="150" customWidth="1"/>
    <col min="13853" max="13853" width="4.08984375" style="150" customWidth="1"/>
    <col min="13854" max="13854" width="7.08984375" style="150" customWidth="1"/>
    <col min="13855" max="13855" width="4.08984375" style="150" customWidth="1"/>
    <col min="13856" max="13856" width="7.08984375" style="150" customWidth="1"/>
    <col min="13857" max="13857" width="4.08984375" style="150" customWidth="1"/>
    <col min="13858" max="13858" width="7.08984375" style="150" customWidth="1"/>
    <col min="13859" max="13859" width="4.08984375" style="150" customWidth="1"/>
    <col min="13860" max="13860" width="7.08984375" style="150" customWidth="1"/>
    <col min="13861" max="13861" width="4.08984375" style="150" customWidth="1"/>
    <col min="13862" max="14080" width="8.7265625" style="150"/>
    <col min="14081" max="14081" width="5.6328125" style="150" customWidth="1"/>
    <col min="14082" max="14082" width="3" style="150" customWidth="1"/>
    <col min="14083" max="14083" width="15.36328125" style="150" customWidth="1"/>
    <col min="14084" max="14084" width="9.08984375" style="150" customWidth="1"/>
    <col min="14085" max="14085" width="7.08984375" style="150" customWidth="1"/>
    <col min="14086" max="14086" width="4.08984375" style="150" customWidth="1"/>
    <col min="14087" max="14087" width="7.08984375" style="150" customWidth="1"/>
    <col min="14088" max="14088" width="4.08984375" style="150" customWidth="1"/>
    <col min="14089" max="14089" width="7.08984375" style="150" customWidth="1"/>
    <col min="14090" max="14090" width="4.08984375" style="150" customWidth="1"/>
    <col min="14091" max="14091" width="7.08984375" style="150" customWidth="1"/>
    <col min="14092" max="14092" width="4.08984375" style="150" customWidth="1"/>
    <col min="14093" max="14093" width="7.08984375" style="150" customWidth="1"/>
    <col min="14094" max="14094" width="4.08984375" style="150" customWidth="1"/>
    <col min="14095" max="14095" width="7.08984375" style="150" customWidth="1"/>
    <col min="14096" max="14096" width="4.08984375" style="150" customWidth="1"/>
    <col min="14097" max="14097" width="7.08984375" style="150" customWidth="1"/>
    <col min="14098" max="14098" width="4.08984375" style="150" customWidth="1"/>
    <col min="14099" max="14099" width="7.08984375" style="150" customWidth="1"/>
    <col min="14100" max="14100" width="4.08984375" style="150" customWidth="1"/>
    <col min="14101" max="14101" width="9.08984375" style="150" customWidth="1"/>
    <col min="14102" max="14102" width="7.08984375" style="150" customWidth="1"/>
    <col min="14103" max="14103" width="4.26953125" style="150" customWidth="1"/>
    <col min="14104" max="14104" width="7.08984375" style="150" customWidth="1"/>
    <col min="14105" max="14105" width="4.08984375" style="150" customWidth="1"/>
    <col min="14106" max="14106" width="7.08984375" style="150" customWidth="1"/>
    <col min="14107" max="14107" width="4.08984375" style="150" customWidth="1"/>
    <col min="14108" max="14108" width="7.08984375" style="150" customWidth="1"/>
    <col min="14109" max="14109" width="4.08984375" style="150" customWidth="1"/>
    <col min="14110" max="14110" width="7.08984375" style="150" customWidth="1"/>
    <col min="14111" max="14111" width="4.08984375" style="150" customWidth="1"/>
    <col min="14112" max="14112" width="7.08984375" style="150" customWidth="1"/>
    <col min="14113" max="14113" width="4.08984375" style="150" customWidth="1"/>
    <col min="14114" max="14114" width="7.08984375" style="150" customWidth="1"/>
    <col min="14115" max="14115" width="4.08984375" style="150" customWidth="1"/>
    <col min="14116" max="14116" width="7.08984375" style="150" customWidth="1"/>
    <col min="14117" max="14117" width="4.08984375" style="150" customWidth="1"/>
    <col min="14118" max="14336" width="8.7265625" style="150"/>
    <col min="14337" max="14337" width="5.6328125" style="150" customWidth="1"/>
    <col min="14338" max="14338" width="3" style="150" customWidth="1"/>
    <col min="14339" max="14339" width="15.36328125" style="150" customWidth="1"/>
    <col min="14340" max="14340" width="9.08984375" style="150" customWidth="1"/>
    <col min="14341" max="14341" width="7.08984375" style="150" customWidth="1"/>
    <col min="14342" max="14342" width="4.08984375" style="150" customWidth="1"/>
    <col min="14343" max="14343" width="7.08984375" style="150" customWidth="1"/>
    <col min="14344" max="14344" width="4.08984375" style="150" customWidth="1"/>
    <col min="14345" max="14345" width="7.08984375" style="150" customWidth="1"/>
    <col min="14346" max="14346" width="4.08984375" style="150" customWidth="1"/>
    <col min="14347" max="14347" width="7.08984375" style="150" customWidth="1"/>
    <col min="14348" max="14348" width="4.08984375" style="150" customWidth="1"/>
    <col min="14349" max="14349" width="7.08984375" style="150" customWidth="1"/>
    <col min="14350" max="14350" width="4.08984375" style="150" customWidth="1"/>
    <col min="14351" max="14351" width="7.08984375" style="150" customWidth="1"/>
    <col min="14352" max="14352" width="4.08984375" style="150" customWidth="1"/>
    <col min="14353" max="14353" width="7.08984375" style="150" customWidth="1"/>
    <col min="14354" max="14354" width="4.08984375" style="150" customWidth="1"/>
    <col min="14355" max="14355" width="7.08984375" style="150" customWidth="1"/>
    <col min="14356" max="14356" width="4.08984375" style="150" customWidth="1"/>
    <col min="14357" max="14357" width="9.08984375" style="150" customWidth="1"/>
    <col min="14358" max="14358" width="7.08984375" style="150" customWidth="1"/>
    <col min="14359" max="14359" width="4.26953125" style="150" customWidth="1"/>
    <col min="14360" max="14360" width="7.08984375" style="150" customWidth="1"/>
    <col min="14361" max="14361" width="4.08984375" style="150" customWidth="1"/>
    <col min="14362" max="14362" width="7.08984375" style="150" customWidth="1"/>
    <col min="14363" max="14363" width="4.08984375" style="150" customWidth="1"/>
    <col min="14364" max="14364" width="7.08984375" style="150" customWidth="1"/>
    <col min="14365" max="14365" width="4.08984375" style="150" customWidth="1"/>
    <col min="14366" max="14366" width="7.08984375" style="150" customWidth="1"/>
    <col min="14367" max="14367" width="4.08984375" style="150" customWidth="1"/>
    <col min="14368" max="14368" width="7.08984375" style="150" customWidth="1"/>
    <col min="14369" max="14369" width="4.08984375" style="150" customWidth="1"/>
    <col min="14370" max="14370" width="7.08984375" style="150" customWidth="1"/>
    <col min="14371" max="14371" width="4.08984375" style="150" customWidth="1"/>
    <col min="14372" max="14372" width="7.08984375" style="150" customWidth="1"/>
    <col min="14373" max="14373" width="4.08984375" style="150" customWidth="1"/>
    <col min="14374" max="14592" width="8.7265625" style="150"/>
    <col min="14593" max="14593" width="5.6328125" style="150" customWidth="1"/>
    <col min="14594" max="14594" width="3" style="150" customWidth="1"/>
    <col min="14595" max="14595" width="15.36328125" style="150" customWidth="1"/>
    <col min="14596" max="14596" width="9.08984375" style="150" customWidth="1"/>
    <col min="14597" max="14597" width="7.08984375" style="150" customWidth="1"/>
    <col min="14598" max="14598" width="4.08984375" style="150" customWidth="1"/>
    <col min="14599" max="14599" width="7.08984375" style="150" customWidth="1"/>
    <col min="14600" max="14600" width="4.08984375" style="150" customWidth="1"/>
    <col min="14601" max="14601" width="7.08984375" style="150" customWidth="1"/>
    <col min="14602" max="14602" width="4.08984375" style="150" customWidth="1"/>
    <col min="14603" max="14603" width="7.08984375" style="150" customWidth="1"/>
    <col min="14604" max="14604" width="4.08984375" style="150" customWidth="1"/>
    <col min="14605" max="14605" width="7.08984375" style="150" customWidth="1"/>
    <col min="14606" max="14606" width="4.08984375" style="150" customWidth="1"/>
    <col min="14607" max="14607" width="7.08984375" style="150" customWidth="1"/>
    <col min="14608" max="14608" width="4.08984375" style="150" customWidth="1"/>
    <col min="14609" max="14609" width="7.08984375" style="150" customWidth="1"/>
    <col min="14610" max="14610" width="4.08984375" style="150" customWidth="1"/>
    <col min="14611" max="14611" width="7.08984375" style="150" customWidth="1"/>
    <col min="14612" max="14612" width="4.08984375" style="150" customWidth="1"/>
    <col min="14613" max="14613" width="9.08984375" style="150" customWidth="1"/>
    <col min="14614" max="14614" width="7.08984375" style="150" customWidth="1"/>
    <col min="14615" max="14615" width="4.26953125" style="150" customWidth="1"/>
    <col min="14616" max="14616" width="7.08984375" style="150" customWidth="1"/>
    <col min="14617" max="14617" width="4.08984375" style="150" customWidth="1"/>
    <col min="14618" max="14618" width="7.08984375" style="150" customWidth="1"/>
    <col min="14619" max="14619" width="4.08984375" style="150" customWidth="1"/>
    <col min="14620" max="14620" width="7.08984375" style="150" customWidth="1"/>
    <col min="14621" max="14621" width="4.08984375" style="150" customWidth="1"/>
    <col min="14622" max="14622" width="7.08984375" style="150" customWidth="1"/>
    <col min="14623" max="14623" width="4.08984375" style="150" customWidth="1"/>
    <col min="14624" max="14624" width="7.08984375" style="150" customWidth="1"/>
    <col min="14625" max="14625" width="4.08984375" style="150" customWidth="1"/>
    <col min="14626" max="14626" width="7.08984375" style="150" customWidth="1"/>
    <col min="14627" max="14627" width="4.08984375" style="150" customWidth="1"/>
    <col min="14628" max="14628" width="7.08984375" style="150" customWidth="1"/>
    <col min="14629" max="14629" width="4.08984375" style="150" customWidth="1"/>
    <col min="14630" max="14848" width="8.7265625" style="150"/>
    <col min="14849" max="14849" width="5.6328125" style="150" customWidth="1"/>
    <col min="14850" max="14850" width="3" style="150" customWidth="1"/>
    <col min="14851" max="14851" width="15.36328125" style="150" customWidth="1"/>
    <col min="14852" max="14852" width="9.08984375" style="150" customWidth="1"/>
    <col min="14853" max="14853" width="7.08984375" style="150" customWidth="1"/>
    <col min="14854" max="14854" width="4.08984375" style="150" customWidth="1"/>
    <col min="14855" max="14855" width="7.08984375" style="150" customWidth="1"/>
    <col min="14856" max="14856" width="4.08984375" style="150" customWidth="1"/>
    <col min="14857" max="14857" width="7.08984375" style="150" customWidth="1"/>
    <col min="14858" max="14858" width="4.08984375" style="150" customWidth="1"/>
    <col min="14859" max="14859" width="7.08984375" style="150" customWidth="1"/>
    <col min="14860" max="14860" width="4.08984375" style="150" customWidth="1"/>
    <col min="14861" max="14861" width="7.08984375" style="150" customWidth="1"/>
    <col min="14862" max="14862" width="4.08984375" style="150" customWidth="1"/>
    <col min="14863" max="14863" width="7.08984375" style="150" customWidth="1"/>
    <col min="14864" max="14864" width="4.08984375" style="150" customWidth="1"/>
    <col min="14865" max="14865" width="7.08984375" style="150" customWidth="1"/>
    <col min="14866" max="14866" width="4.08984375" style="150" customWidth="1"/>
    <col min="14867" max="14867" width="7.08984375" style="150" customWidth="1"/>
    <col min="14868" max="14868" width="4.08984375" style="150" customWidth="1"/>
    <col min="14869" max="14869" width="9.08984375" style="150" customWidth="1"/>
    <col min="14870" max="14870" width="7.08984375" style="150" customWidth="1"/>
    <col min="14871" max="14871" width="4.26953125" style="150" customWidth="1"/>
    <col min="14872" max="14872" width="7.08984375" style="150" customWidth="1"/>
    <col min="14873" max="14873" width="4.08984375" style="150" customWidth="1"/>
    <col min="14874" max="14874" width="7.08984375" style="150" customWidth="1"/>
    <col min="14875" max="14875" width="4.08984375" style="150" customWidth="1"/>
    <col min="14876" max="14876" width="7.08984375" style="150" customWidth="1"/>
    <col min="14877" max="14877" width="4.08984375" style="150" customWidth="1"/>
    <col min="14878" max="14878" width="7.08984375" style="150" customWidth="1"/>
    <col min="14879" max="14879" width="4.08984375" style="150" customWidth="1"/>
    <col min="14880" max="14880" width="7.08984375" style="150" customWidth="1"/>
    <col min="14881" max="14881" width="4.08984375" style="150" customWidth="1"/>
    <col min="14882" max="14882" width="7.08984375" style="150" customWidth="1"/>
    <col min="14883" max="14883" width="4.08984375" style="150" customWidth="1"/>
    <col min="14884" max="14884" width="7.08984375" style="150" customWidth="1"/>
    <col min="14885" max="14885" width="4.08984375" style="150" customWidth="1"/>
    <col min="14886" max="15104" width="8.7265625" style="150"/>
    <col min="15105" max="15105" width="5.6328125" style="150" customWidth="1"/>
    <col min="15106" max="15106" width="3" style="150" customWidth="1"/>
    <col min="15107" max="15107" width="15.36328125" style="150" customWidth="1"/>
    <col min="15108" max="15108" width="9.08984375" style="150" customWidth="1"/>
    <col min="15109" max="15109" width="7.08984375" style="150" customWidth="1"/>
    <col min="15110" max="15110" width="4.08984375" style="150" customWidth="1"/>
    <col min="15111" max="15111" width="7.08984375" style="150" customWidth="1"/>
    <col min="15112" max="15112" width="4.08984375" style="150" customWidth="1"/>
    <col min="15113" max="15113" width="7.08984375" style="150" customWidth="1"/>
    <col min="15114" max="15114" width="4.08984375" style="150" customWidth="1"/>
    <col min="15115" max="15115" width="7.08984375" style="150" customWidth="1"/>
    <col min="15116" max="15116" width="4.08984375" style="150" customWidth="1"/>
    <col min="15117" max="15117" width="7.08984375" style="150" customWidth="1"/>
    <col min="15118" max="15118" width="4.08984375" style="150" customWidth="1"/>
    <col min="15119" max="15119" width="7.08984375" style="150" customWidth="1"/>
    <col min="15120" max="15120" width="4.08984375" style="150" customWidth="1"/>
    <col min="15121" max="15121" width="7.08984375" style="150" customWidth="1"/>
    <col min="15122" max="15122" width="4.08984375" style="150" customWidth="1"/>
    <col min="15123" max="15123" width="7.08984375" style="150" customWidth="1"/>
    <col min="15124" max="15124" width="4.08984375" style="150" customWidth="1"/>
    <col min="15125" max="15125" width="9.08984375" style="150" customWidth="1"/>
    <col min="15126" max="15126" width="7.08984375" style="150" customWidth="1"/>
    <col min="15127" max="15127" width="4.26953125" style="150" customWidth="1"/>
    <col min="15128" max="15128" width="7.08984375" style="150" customWidth="1"/>
    <col min="15129" max="15129" width="4.08984375" style="150" customWidth="1"/>
    <col min="15130" max="15130" width="7.08984375" style="150" customWidth="1"/>
    <col min="15131" max="15131" width="4.08984375" style="150" customWidth="1"/>
    <col min="15132" max="15132" width="7.08984375" style="150" customWidth="1"/>
    <col min="15133" max="15133" width="4.08984375" style="150" customWidth="1"/>
    <col min="15134" max="15134" width="7.08984375" style="150" customWidth="1"/>
    <col min="15135" max="15135" width="4.08984375" style="150" customWidth="1"/>
    <col min="15136" max="15136" width="7.08984375" style="150" customWidth="1"/>
    <col min="15137" max="15137" width="4.08984375" style="150" customWidth="1"/>
    <col min="15138" max="15138" width="7.08984375" style="150" customWidth="1"/>
    <col min="15139" max="15139" width="4.08984375" style="150" customWidth="1"/>
    <col min="15140" max="15140" width="7.08984375" style="150" customWidth="1"/>
    <col min="15141" max="15141" width="4.08984375" style="150" customWidth="1"/>
    <col min="15142" max="15360" width="8.7265625" style="150"/>
    <col min="15361" max="15361" width="5.6328125" style="150" customWidth="1"/>
    <col min="15362" max="15362" width="3" style="150" customWidth="1"/>
    <col min="15363" max="15363" width="15.36328125" style="150" customWidth="1"/>
    <col min="15364" max="15364" width="9.08984375" style="150" customWidth="1"/>
    <col min="15365" max="15365" width="7.08984375" style="150" customWidth="1"/>
    <col min="15366" max="15366" width="4.08984375" style="150" customWidth="1"/>
    <col min="15367" max="15367" width="7.08984375" style="150" customWidth="1"/>
    <col min="15368" max="15368" width="4.08984375" style="150" customWidth="1"/>
    <col min="15369" max="15369" width="7.08984375" style="150" customWidth="1"/>
    <col min="15370" max="15370" width="4.08984375" style="150" customWidth="1"/>
    <col min="15371" max="15371" width="7.08984375" style="150" customWidth="1"/>
    <col min="15372" max="15372" width="4.08984375" style="150" customWidth="1"/>
    <col min="15373" max="15373" width="7.08984375" style="150" customWidth="1"/>
    <col min="15374" max="15374" width="4.08984375" style="150" customWidth="1"/>
    <col min="15375" max="15375" width="7.08984375" style="150" customWidth="1"/>
    <col min="15376" max="15376" width="4.08984375" style="150" customWidth="1"/>
    <col min="15377" max="15377" width="7.08984375" style="150" customWidth="1"/>
    <col min="15378" max="15378" width="4.08984375" style="150" customWidth="1"/>
    <col min="15379" max="15379" width="7.08984375" style="150" customWidth="1"/>
    <col min="15380" max="15380" width="4.08984375" style="150" customWidth="1"/>
    <col min="15381" max="15381" width="9.08984375" style="150" customWidth="1"/>
    <col min="15382" max="15382" width="7.08984375" style="150" customWidth="1"/>
    <col min="15383" max="15383" width="4.26953125" style="150" customWidth="1"/>
    <col min="15384" max="15384" width="7.08984375" style="150" customWidth="1"/>
    <col min="15385" max="15385" width="4.08984375" style="150" customWidth="1"/>
    <col min="15386" max="15386" width="7.08984375" style="150" customWidth="1"/>
    <col min="15387" max="15387" width="4.08984375" style="150" customWidth="1"/>
    <col min="15388" max="15388" width="7.08984375" style="150" customWidth="1"/>
    <col min="15389" max="15389" width="4.08984375" style="150" customWidth="1"/>
    <col min="15390" max="15390" width="7.08984375" style="150" customWidth="1"/>
    <col min="15391" max="15391" width="4.08984375" style="150" customWidth="1"/>
    <col min="15392" max="15392" width="7.08984375" style="150" customWidth="1"/>
    <col min="15393" max="15393" width="4.08984375" style="150" customWidth="1"/>
    <col min="15394" max="15394" width="7.08984375" style="150" customWidth="1"/>
    <col min="15395" max="15395" width="4.08984375" style="150" customWidth="1"/>
    <col min="15396" max="15396" width="7.08984375" style="150" customWidth="1"/>
    <col min="15397" max="15397" width="4.08984375" style="150" customWidth="1"/>
    <col min="15398" max="15616" width="8.7265625" style="150"/>
    <col min="15617" max="15617" width="5.6328125" style="150" customWidth="1"/>
    <col min="15618" max="15618" width="3" style="150" customWidth="1"/>
    <col min="15619" max="15619" width="15.36328125" style="150" customWidth="1"/>
    <col min="15620" max="15620" width="9.08984375" style="150" customWidth="1"/>
    <col min="15621" max="15621" width="7.08984375" style="150" customWidth="1"/>
    <col min="15622" max="15622" width="4.08984375" style="150" customWidth="1"/>
    <col min="15623" max="15623" width="7.08984375" style="150" customWidth="1"/>
    <col min="15624" max="15624" width="4.08984375" style="150" customWidth="1"/>
    <col min="15625" max="15625" width="7.08984375" style="150" customWidth="1"/>
    <col min="15626" max="15626" width="4.08984375" style="150" customWidth="1"/>
    <col min="15627" max="15627" width="7.08984375" style="150" customWidth="1"/>
    <col min="15628" max="15628" width="4.08984375" style="150" customWidth="1"/>
    <col min="15629" max="15629" width="7.08984375" style="150" customWidth="1"/>
    <col min="15630" max="15630" width="4.08984375" style="150" customWidth="1"/>
    <col min="15631" max="15631" width="7.08984375" style="150" customWidth="1"/>
    <col min="15632" max="15632" width="4.08984375" style="150" customWidth="1"/>
    <col min="15633" max="15633" width="7.08984375" style="150" customWidth="1"/>
    <col min="15634" max="15634" width="4.08984375" style="150" customWidth="1"/>
    <col min="15635" max="15635" width="7.08984375" style="150" customWidth="1"/>
    <col min="15636" max="15636" width="4.08984375" style="150" customWidth="1"/>
    <col min="15637" max="15637" width="9.08984375" style="150" customWidth="1"/>
    <col min="15638" max="15638" width="7.08984375" style="150" customWidth="1"/>
    <col min="15639" max="15639" width="4.26953125" style="150" customWidth="1"/>
    <col min="15640" max="15640" width="7.08984375" style="150" customWidth="1"/>
    <col min="15641" max="15641" width="4.08984375" style="150" customWidth="1"/>
    <col min="15642" max="15642" width="7.08984375" style="150" customWidth="1"/>
    <col min="15643" max="15643" width="4.08984375" style="150" customWidth="1"/>
    <col min="15644" max="15644" width="7.08984375" style="150" customWidth="1"/>
    <col min="15645" max="15645" width="4.08984375" style="150" customWidth="1"/>
    <col min="15646" max="15646" width="7.08984375" style="150" customWidth="1"/>
    <col min="15647" max="15647" width="4.08984375" style="150" customWidth="1"/>
    <col min="15648" max="15648" width="7.08984375" style="150" customWidth="1"/>
    <col min="15649" max="15649" width="4.08984375" style="150" customWidth="1"/>
    <col min="15650" max="15650" width="7.08984375" style="150" customWidth="1"/>
    <col min="15651" max="15651" width="4.08984375" style="150" customWidth="1"/>
    <col min="15652" max="15652" width="7.08984375" style="150" customWidth="1"/>
    <col min="15653" max="15653" width="4.08984375" style="150" customWidth="1"/>
    <col min="15654" max="15872" width="8.7265625" style="150"/>
    <col min="15873" max="15873" width="5.6328125" style="150" customWidth="1"/>
    <col min="15874" max="15874" width="3" style="150" customWidth="1"/>
    <col min="15875" max="15875" width="15.36328125" style="150" customWidth="1"/>
    <col min="15876" max="15876" width="9.08984375" style="150" customWidth="1"/>
    <col min="15877" max="15877" width="7.08984375" style="150" customWidth="1"/>
    <col min="15878" max="15878" width="4.08984375" style="150" customWidth="1"/>
    <col min="15879" max="15879" width="7.08984375" style="150" customWidth="1"/>
    <col min="15880" max="15880" width="4.08984375" style="150" customWidth="1"/>
    <col min="15881" max="15881" width="7.08984375" style="150" customWidth="1"/>
    <col min="15882" max="15882" width="4.08984375" style="150" customWidth="1"/>
    <col min="15883" max="15883" width="7.08984375" style="150" customWidth="1"/>
    <col min="15884" max="15884" width="4.08984375" style="150" customWidth="1"/>
    <col min="15885" max="15885" width="7.08984375" style="150" customWidth="1"/>
    <col min="15886" max="15886" width="4.08984375" style="150" customWidth="1"/>
    <col min="15887" max="15887" width="7.08984375" style="150" customWidth="1"/>
    <col min="15888" max="15888" width="4.08984375" style="150" customWidth="1"/>
    <col min="15889" max="15889" width="7.08984375" style="150" customWidth="1"/>
    <col min="15890" max="15890" width="4.08984375" style="150" customWidth="1"/>
    <col min="15891" max="15891" width="7.08984375" style="150" customWidth="1"/>
    <col min="15892" max="15892" width="4.08984375" style="150" customWidth="1"/>
    <col min="15893" max="15893" width="9.08984375" style="150" customWidth="1"/>
    <col min="15894" max="15894" width="7.08984375" style="150" customWidth="1"/>
    <col min="15895" max="15895" width="4.26953125" style="150" customWidth="1"/>
    <col min="15896" max="15896" width="7.08984375" style="150" customWidth="1"/>
    <col min="15897" max="15897" width="4.08984375" style="150" customWidth="1"/>
    <col min="15898" max="15898" width="7.08984375" style="150" customWidth="1"/>
    <col min="15899" max="15899" width="4.08984375" style="150" customWidth="1"/>
    <col min="15900" max="15900" width="7.08984375" style="150" customWidth="1"/>
    <col min="15901" max="15901" width="4.08984375" style="150" customWidth="1"/>
    <col min="15902" max="15902" width="7.08984375" style="150" customWidth="1"/>
    <col min="15903" max="15903" width="4.08984375" style="150" customWidth="1"/>
    <col min="15904" max="15904" width="7.08984375" style="150" customWidth="1"/>
    <col min="15905" max="15905" width="4.08984375" style="150" customWidth="1"/>
    <col min="15906" max="15906" width="7.08984375" style="150" customWidth="1"/>
    <col min="15907" max="15907" width="4.08984375" style="150" customWidth="1"/>
    <col min="15908" max="15908" width="7.08984375" style="150" customWidth="1"/>
    <col min="15909" max="15909" width="4.08984375" style="150" customWidth="1"/>
    <col min="15910" max="16128" width="8.7265625" style="150"/>
    <col min="16129" max="16129" width="5.6328125" style="150" customWidth="1"/>
    <col min="16130" max="16130" width="3" style="150" customWidth="1"/>
    <col min="16131" max="16131" width="15.36328125" style="150" customWidth="1"/>
    <col min="16132" max="16132" width="9.08984375" style="150" customWidth="1"/>
    <col min="16133" max="16133" width="7.08984375" style="150" customWidth="1"/>
    <col min="16134" max="16134" width="4.08984375" style="150" customWidth="1"/>
    <col min="16135" max="16135" width="7.08984375" style="150" customWidth="1"/>
    <col min="16136" max="16136" width="4.08984375" style="150" customWidth="1"/>
    <col min="16137" max="16137" width="7.08984375" style="150" customWidth="1"/>
    <col min="16138" max="16138" width="4.08984375" style="150" customWidth="1"/>
    <col min="16139" max="16139" width="7.08984375" style="150" customWidth="1"/>
    <col min="16140" max="16140" width="4.08984375" style="150" customWidth="1"/>
    <col min="16141" max="16141" width="7.08984375" style="150" customWidth="1"/>
    <col min="16142" max="16142" width="4.08984375" style="150" customWidth="1"/>
    <col min="16143" max="16143" width="7.08984375" style="150" customWidth="1"/>
    <col min="16144" max="16144" width="4.08984375" style="150" customWidth="1"/>
    <col min="16145" max="16145" width="7.08984375" style="150" customWidth="1"/>
    <col min="16146" max="16146" width="4.08984375" style="150" customWidth="1"/>
    <col min="16147" max="16147" width="7.08984375" style="150" customWidth="1"/>
    <col min="16148" max="16148" width="4.08984375" style="150" customWidth="1"/>
    <col min="16149" max="16149" width="9.08984375" style="150" customWidth="1"/>
    <col min="16150" max="16150" width="7.08984375" style="150" customWidth="1"/>
    <col min="16151" max="16151" width="4.26953125" style="150" customWidth="1"/>
    <col min="16152" max="16152" width="7.08984375" style="150" customWidth="1"/>
    <col min="16153" max="16153" width="4.08984375" style="150" customWidth="1"/>
    <col min="16154" max="16154" width="7.08984375" style="150" customWidth="1"/>
    <col min="16155" max="16155" width="4.08984375" style="150" customWidth="1"/>
    <col min="16156" max="16156" width="7.08984375" style="150" customWidth="1"/>
    <col min="16157" max="16157" width="4.08984375" style="150" customWidth="1"/>
    <col min="16158" max="16158" width="7.08984375" style="150" customWidth="1"/>
    <col min="16159" max="16159" width="4.08984375" style="150" customWidth="1"/>
    <col min="16160" max="16160" width="7.08984375" style="150" customWidth="1"/>
    <col min="16161" max="16161" width="4.08984375" style="150" customWidth="1"/>
    <col min="16162" max="16162" width="7.08984375" style="150" customWidth="1"/>
    <col min="16163" max="16163" width="4.08984375" style="150" customWidth="1"/>
    <col min="16164" max="16164" width="7.08984375" style="150" customWidth="1"/>
    <col min="16165" max="16165" width="4.08984375" style="150" customWidth="1"/>
    <col min="16166" max="16384" width="8.7265625" style="150"/>
  </cols>
  <sheetData>
    <row r="1" spans="1:37" ht="17.149999999999999" customHeight="1">
      <c r="A1" s="377" t="s">
        <v>864</v>
      </c>
      <c r="D1" s="238"/>
      <c r="E1" s="238"/>
      <c r="F1" s="331"/>
      <c r="G1" s="238"/>
      <c r="H1" s="331"/>
      <c r="I1" s="331"/>
      <c r="J1" s="331"/>
      <c r="K1" s="331"/>
      <c r="L1" s="331"/>
      <c r="M1" s="331"/>
      <c r="N1" s="331"/>
      <c r="O1" s="331"/>
      <c r="P1" s="331"/>
      <c r="Q1" s="331"/>
      <c r="R1" s="331"/>
      <c r="S1" s="331"/>
      <c r="T1" s="331"/>
    </row>
    <row r="2" spans="1:37" ht="14.15" customHeight="1">
      <c r="D2" s="238"/>
      <c r="E2" s="238"/>
      <c r="F2" s="331"/>
      <c r="G2" s="238"/>
      <c r="H2" s="331"/>
      <c r="I2" s="331"/>
      <c r="J2" s="331"/>
      <c r="K2" s="331"/>
      <c r="L2" s="331"/>
      <c r="M2" s="331"/>
      <c r="N2" s="331"/>
      <c r="O2" s="331"/>
      <c r="P2" s="331"/>
      <c r="Q2" s="331"/>
      <c r="R2" s="331"/>
      <c r="S2" s="331"/>
      <c r="T2" s="331"/>
    </row>
    <row r="3" spans="1:37" s="178" customFormat="1" ht="17.149999999999999" customHeight="1">
      <c r="A3" s="849" t="s">
        <v>495</v>
      </c>
      <c r="B3" s="849" t="s">
        <v>496</v>
      </c>
      <c r="C3" s="849" t="s">
        <v>497</v>
      </c>
      <c r="D3" s="2011" t="s">
        <v>865</v>
      </c>
      <c r="E3" s="2012"/>
      <c r="F3" s="2012"/>
      <c r="G3" s="2012"/>
      <c r="H3" s="2012"/>
      <c r="I3" s="2012"/>
      <c r="J3" s="2012"/>
      <c r="K3" s="2012"/>
      <c r="L3" s="2012"/>
      <c r="M3" s="2012"/>
      <c r="N3" s="2012"/>
      <c r="O3" s="2012"/>
      <c r="P3" s="2012"/>
      <c r="Q3" s="2012"/>
      <c r="R3" s="2012"/>
      <c r="S3" s="2012"/>
      <c r="T3" s="2075"/>
      <c r="U3" s="2076" t="s">
        <v>866</v>
      </c>
      <c r="V3" s="2012"/>
      <c r="W3" s="2012"/>
      <c r="X3" s="2012"/>
      <c r="Y3" s="2012"/>
      <c r="Z3" s="2012"/>
      <c r="AA3" s="2012"/>
      <c r="AB3" s="2012"/>
      <c r="AC3" s="2012"/>
      <c r="AD3" s="2012"/>
      <c r="AE3" s="2012"/>
      <c r="AF3" s="2012"/>
      <c r="AG3" s="2012"/>
      <c r="AH3" s="2012"/>
      <c r="AI3" s="2012"/>
      <c r="AJ3" s="2012"/>
      <c r="AK3" s="2013"/>
    </row>
    <row r="4" spans="1:37" s="178" customFormat="1" ht="17.149999999999999" customHeight="1">
      <c r="A4" s="849"/>
      <c r="B4" s="849"/>
      <c r="C4" s="849"/>
      <c r="D4" s="2077" t="s">
        <v>867</v>
      </c>
      <c r="E4" s="2078"/>
      <c r="F4" s="2079"/>
      <c r="G4" s="2079"/>
      <c r="H4" s="2079"/>
      <c r="I4" s="2080" t="s">
        <v>868</v>
      </c>
      <c r="J4" s="2081"/>
      <c r="K4" s="2081"/>
      <c r="L4" s="2081"/>
      <c r="M4" s="2081"/>
      <c r="N4" s="2081"/>
      <c r="O4" s="2081"/>
      <c r="P4" s="2081"/>
      <c r="Q4" s="2081"/>
      <c r="R4" s="2081"/>
      <c r="S4" s="2081"/>
      <c r="T4" s="2082"/>
      <c r="U4" s="2083"/>
      <c r="V4" s="2078"/>
      <c r="W4" s="2079"/>
      <c r="X4" s="2079"/>
      <c r="Y4" s="2079"/>
      <c r="Z4" s="2080" t="s">
        <v>868</v>
      </c>
      <c r="AA4" s="2081"/>
      <c r="AB4" s="2081"/>
      <c r="AC4" s="2081"/>
      <c r="AD4" s="2081"/>
      <c r="AE4" s="2081"/>
      <c r="AF4" s="2081"/>
      <c r="AG4" s="2081"/>
      <c r="AH4" s="2081"/>
      <c r="AI4" s="2081"/>
      <c r="AJ4" s="2081"/>
      <c r="AK4" s="2084"/>
    </row>
    <row r="5" spans="1:37" s="178" customFormat="1" ht="26.25" customHeight="1">
      <c r="A5" s="849"/>
      <c r="B5" s="849"/>
      <c r="C5" s="849"/>
      <c r="D5" s="2085"/>
      <c r="E5" s="2085" t="s">
        <v>869</v>
      </c>
      <c r="F5" s="2086"/>
      <c r="G5" s="2086"/>
      <c r="H5" s="2087"/>
      <c r="I5" s="2088" t="s">
        <v>562</v>
      </c>
      <c r="J5" s="2089"/>
      <c r="K5" s="2089"/>
      <c r="L5" s="2090"/>
      <c r="M5" s="2088" t="s">
        <v>186</v>
      </c>
      <c r="N5" s="2090"/>
      <c r="O5" s="2088" t="s">
        <v>870</v>
      </c>
      <c r="P5" s="2090"/>
      <c r="Q5" s="2088" t="s">
        <v>871</v>
      </c>
      <c r="R5" s="2090"/>
      <c r="S5" s="2088" t="s">
        <v>872</v>
      </c>
      <c r="T5" s="2091"/>
      <c r="U5" s="2092" t="s">
        <v>873</v>
      </c>
      <c r="V5" s="2085" t="s">
        <v>874</v>
      </c>
      <c r="W5" s="2086"/>
      <c r="X5" s="2086"/>
      <c r="Y5" s="2087"/>
      <c r="Z5" s="916" t="s">
        <v>562</v>
      </c>
      <c r="AA5" s="2093"/>
      <c r="AB5" s="2093"/>
      <c r="AC5" s="919"/>
      <c r="AD5" s="916" t="s">
        <v>186</v>
      </c>
      <c r="AE5" s="919"/>
      <c r="AF5" s="916" t="s">
        <v>870</v>
      </c>
      <c r="AG5" s="919"/>
      <c r="AH5" s="916" t="s">
        <v>871</v>
      </c>
      <c r="AI5" s="919"/>
      <c r="AJ5" s="916" t="s">
        <v>872</v>
      </c>
      <c r="AK5" s="919"/>
    </row>
    <row r="6" spans="1:37" s="178" customFormat="1" ht="41.25" customHeight="1">
      <c r="A6" s="849"/>
      <c r="B6" s="849"/>
      <c r="C6" s="849"/>
      <c r="D6" s="2085"/>
      <c r="E6" s="2094" t="s">
        <v>875</v>
      </c>
      <c r="F6" s="2095"/>
      <c r="G6" s="2080" t="s">
        <v>876</v>
      </c>
      <c r="H6" s="918"/>
      <c r="I6" s="916" t="s">
        <v>877</v>
      </c>
      <c r="J6" s="919"/>
      <c r="K6" s="2096" t="s">
        <v>878</v>
      </c>
      <c r="L6" s="2097"/>
      <c r="M6" s="2088" t="s">
        <v>879</v>
      </c>
      <c r="N6" s="2090"/>
      <c r="O6" s="916" t="s">
        <v>880</v>
      </c>
      <c r="P6" s="919"/>
      <c r="Q6" s="916" t="s">
        <v>881</v>
      </c>
      <c r="R6" s="919"/>
      <c r="S6" s="916" t="s">
        <v>882</v>
      </c>
      <c r="T6" s="917"/>
      <c r="U6" s="2092"/>
      <c r="V6" s="2094" t="s">
        <v>883</v>
      </c>
      <c r="W6" s="2095"/>
      <c r="X6" s="2080" t="s">
        <v>884</v>
      </c>
      <c r="Y6" s="2084"/>
      <c r="Z6" s="916" t="s">
        <v>885</v>
      </c>
      <c r="AA6" s="919"/>
      <c r="AB6" s="2096" t="s">
        <v>886</v>
      </c>
      <c r="AC6" s="2097"/>
      <c r="AD6" s="2088" t="s">
        <v>887</v>
      </c>
      <c r="AE6" s="2090"/>
      <c r="AF6" s="916" t="s">
        <v>888</v>
      </c>
      <c r="AG6" s="919"/>
      <c r="AH6" s="916" t="s">
        <v>889</v>
      </c>
      <c r="AI6" s="919"/>
      <c r="AJ6" s="916" t="s">
        <v>890</v>
      </c>
      <c r="AK6" s="919"/>
    </row>
    <row r="7" spans="1:37" s="378" customFormat="1" ht="32.25" customHeight="1">
      <c r="A7" s="849"/>
      <c r="B7" s="849"/>
      <c r="C7" s="849"/>
      <c r="D7" s="2094"/>
      <c r="E7" s="2098" t="s">
        <v>857</v>
      </c>
      <c r="F7" s="2099" t="s">
        <v>891</v>
      </c>
      <c r="G7" s="2100" t="s">
        <v>857</v>
      </c>
      <c r="H7" s="2099" t="s">
        <v>892</v>
      </c>
      <c r="I7" s="2098" t="s">
        <v>857</v>
      </c>
      <c r="J7" s="2099" t="s">
        <v>893</v>
      </c>
      <c r="K7" s="2098" t="s">
        <v>857</v>
      </c>
      <c r="L7" s="2099" t="s">
        <v>894</v>
      </c>
      <c r="M7" s="2098" t="s">
        <v>857</v>
      </c>
      <c r="N7" s="2099" t="s">
        <v>895</v>
      </c>
      <c r="O7" s="2098" t="s">
        <v>857</v>
      </c>
      <c r="P7" s="2099" t="s">
        <v>896</v>
      </c>
      <c r="Q7" s="2098" t="s">
        <v>857</v>
      </c>
      <c r="R7" s="2099" t="s">
        <v>897</v>
      </c>
      <c r="S7" s="2098" t="s">
        <v>857</v>
      </c>
      <c r="T7" s="2101" t="s">
        <v>898</v>
      </c>
      <c r="U7" s="2102"/>
      <c r="V7" s="2098" t="s">
        <v>857</v>
      </c>
      <c r="W7" s="2099" t="s">
        <v>899</v>
      </c>
      <c r="X7" s="2100" t="s">
        <v>857</v>
      </c>
      <c r="Y7" s="2099" t="s">
        <v>900</v>
      </c>
      <c r="Z7" s="2098" t="s">
        <v>857</v>
      </c>
      <c r="AA7" s="2099" t="s">
        <v>901</v>
      </c>
      <c r="AB7" s="2098" t="s">
        <v>857</v>
      </c>
      <c r="AC7" s="2099" t="s">
        <v>902</v>
      </c>
      <c r="AD7" s="2098" t="s">
        <v>857</v>
      </c>
      <c r="AE7" s="2099" t="s">
        <v>903</v>
      </c>
      <c r="AF7" s="2098" t="s">
        <v>857</v>
      </c>
      <c r="AG7" s="2099" t="s">
        <v>904</v>
      </c>
      <c r="AH7" s="2098" t="s">
        <v>857</v>
      </c>
      <c r="AI7" s="2099" t="s">
        <v>905</v>
      </c>
      <c r="AJ7" s="2098" t="s">
        <v>857</v>
      </c>
      <c r="AK7" s="2099" t="s">
        <v>906</v>
      </c>
    </row>
    <row r="8" spans="1:37" s="10" customFormat="1" ht="14.15" customHeight="1">
      <c r="A8" s="912" t="s">
        <v>507</v>
      </c>
      <c r="B8" s="339">
        <v>6</v>
      </c>
      <c r="C8" s="339" t="s">
        <v>687</v>
      </c>
      <c r="D8" s="231">
        <v>547531</v>
      </c>
      <c r="E8" s="306">
        <f>I8+K8+M8+O8+Q8+S8</f>
        <v>108600</v>
      </c>
      <c r="F8" s="236">
        <f t="shared" ref="F8:F13" si="0">E8/$D8*100</f>
        <v>19.834493389415396</v>
      </c>
      <c r="G8" s="231">
        <f t="shared" ref="G8:G14" si="1">I8+M8+Q8+S8</f>
        <v>51280</v>
      </c>
      <c r="H8" s="236">
        <f t="shared" ref="H8:H14" si="2">G8/$D8*100</f>
        <v>9.3656797514661267</v>
      </c>
      <c r="I8" s="231">
        <v>6889</v>
      </c>
      <c r="J8" s="236">
        <f t="shared" ref="J8:J14" si="3">I8/$D8*100</f>
        <v>1.2581935999970779</v>
      </c>
      <c r="K8" s="231">
        <v>57320</v>
      </c>
      <c r="L8" s="236">
        <f t="shared" ref="L8:L14" si="4">K8/$D8*100</f>
        <v>10.468813637949268</v>
      </c>
      <c r="M8" s="231">
        <v>0</v>
      </c>
      <c r="N8" s="236">
        <f t="shared" ref="N8:N14" si="5">M8/$D8*100</f>
        <v>0</v>
      </c>
      <c r="O8" s="231">
        <v>0</v>
      </c>
      <c r="P8" s="236">
        <f t="shared" ref="P8:P14" si="6">O8/$D8*100</f>
        <v>0</v>
      </c>
      <c r="Q8" s="231">
        <v>44391</v>
      </c>
      <c r="R8" s="236">
        <f t="shared" ref="R8:R14" si="7">Q8/$D8*100</f>
        <v>8.1074861514690504</v>
      </c>
      <c r="S8" s="231">
        <v>0</v>
      </c>
      <c r="T8" s="379">
        <f t="shared" ref="T8:T14" si="8">S8/$D8*100</f>
        <v>0</v>
      </c>
      <c r="U8" s="380">
        <v>48849</v>
      </c>
      <c r="V8" s="231">
        <f t="shared" ref="V8:V14" si="9">Z8+AB8+AD8+AF8+AH8+AJ8</f>
        <v>11023</v>
      </c>
      <c r="W8" s="236">
        <f t="shared" ref="W8:W14" si="10">V8/$U8*100</f>
        <v>22.565456815902067</v>
      </c>
      <c r="X8" s="306">
        <f t="shared" ref="X8:X14" si="11">Z8+AD8+AH8+AJ8</f>
        <v>7230</v>
      </c>
      <c r="Y8" s="236">
        <f t="shared" ref="Y8:Y14" si="12">X8/$U8*100</f>
        <v>14.800712399434993</v>
      </c>
      <c r="Z8" s="231">
        <v>4457</v>
      </c>
      <c r="AA8" s="236">
        <f t="shared" ref="AA8:AA14" si="13">Z8/$U8*100</f>
        <v>9.1240352924317794</v>
      </c>
      <c r="AB8" s="231">
        <v>3793</v>
      </c>
      <c r="AC8" s="236">
        <f t="shared" ref="AC8:AC14" si="14">AB8/$U8*100</f>
        <v>7.7647444164670718</v>
      </c>
      <c r="AD8" s="231">
        <v>0</v>
      </c>
      <c r="AE8" s="236">
        <f t="shared" ref="AE8:AE14" si="15">AD8/$U8*100</f>
        <v>0</v>
      </c>
      <c r="AF8" s="231">
        <v>0</v>
      </c>
      <c r="AG8" s="236">
        <f t="shared" ref="AG8:AG14" si="16">AF8/$U8*100</f>
        <v>0</v>
      </c>
      <c r="AH8" s="231">
        <v>2773</v>
      </c>
      <c r="AI8" s="236">
        <f t="shared" ref="AI8:AI14" si="17">AH8/$U8*100</f>
        <v>5.676677107003214</v>
      </c>
      <c r="AJ8" s="231">
        <v>0</v>
      </c>
      <c r="AK8" s="236">
        <f t="shared" ref="AK8:AK14" si="18">AJ8/$U8*100</f>
        <v>0</v>
      </c>
    </row>
    <row r="9" spans="1:37" s="10" customFormat="1" ht="14.15" customHeight="1">
      <c r="A9" s="912"/>
      <c r="B9" s="340">
        <v>42</v>
      </c>
      <c r="C9" s="340" t="s">
        <v>690</v>
      </c>
      <c r="D9" s="239">
        <v>81139</v>
      </c>
      <c r="E9" s="239">
        <f t="shared" ref="E9:E14" si="19">I9+K9+M9+O9+Q9+S9</f>
        <v>0</v>
      </c>
      <c r="F9" s="244">
        <f t="shared" si="0"/>
        <v>0</v>
      </c>
      <c r="G9" s="239">
        <f t="shared" si="1"/>
        <v>0</v>
      </c>
      <c r="H9" s="244">
        <f t="shared" si="2"/>
        <v>0</v>
      </c>
      <c r="I9" s="239">
        <v>0</v>
      </c>
      <c r="J9" s="244">
        <f t="shared" si="3"/>
        <v>0</v>
      </c>
      <c r="K9" s="239">
        <v>0</v>
      </c>
      <c r="L9" s="244">
        <f t="shared" si="4"/>
        <v>0</v>
      </c>
      <c r="M9" s="239">
        <v>0</v>
      </c>
      <c r="N9" s="244">
        <f t="shared" si="5"/>
        <v>0</v>
      </c>
      <c r="O9" s="239">
        <v>0</v>
      </c>
      <c r="P9" s="244">
        <f t="shared" si="6"/>
        <v>0</v>
      </c>
      <c r="Q9" s="239">
        <v>0</v>
      </c>
      <c r="R9" s="244">
        <f t="shared" si="7"/>
        <v>0</v>
      </c>
      <c r="S9" s="239">
        <v>0</v>
      </c>
      <c r="T9" s="381">
        <f t="shared" si="8"/>
        <v>0</v>
      </c>
      <c r="U9" s="382">
        <v>81139</v>
      </c>
      <c r="V9" s="239">
        <f t="shared" si="9"/>
        <v>0</v>
      </c>
      <c r="W9" s="244">
        <f t="shared" si="10"/>
        <v>0</v>
      </c>
      <c r="X9" s="239">
        <f t="shared" si="11"/>
        <v>0</v>
      </c>
      <c r="Y9" s="244">
        <f t="shared" si="12"/>
        <v>0</v>
      </c>
      <c r="Z9" s="239">
        <v>0</v>
      </c>
      <c r="AA9" s="244">
        <f t="shared" si="13"/>
        <v>0</v>
      </c>
      <c r="AB9" s="239">
        <v>0</v>
      </c>
      <c r="AC9" s="244">
        <f t="shared" si="14"/>
        <v>0</v>
      </c>
      <c r="AD9" s="239">
        <v>0</v>
      </c>
      <c r="AE9" s="244">
        <f t="shared" si="15"/>
        <v>0</v>
      </c>
      <c r="AF9" s="239">
        <v>0</v>
      </c>
      <c r="AG9" s="244">
        <f t="shared" si="16"/>
        <v>0</v>
      </c>
      <c r="AH9" s="239">
        <v>0</v>
      </c>
      <c r="AI9" s="244">
        <f t="shared" si="17"/>
        <v>0</v>
      </c>
      <c r="AJ9" s="239">
        <v>0</v>
      </c>
      <c r="AK9" s="244">
        <f t="shared" si="18"/>
        <v>0</v>
      </c>
    </row>
    <row r="10" spans="1:37" s="10" customFormat="1" ht="14.15" customHeight="1">
      <c r="A10" s="912"/>
      <c r="B10" s="340">
        <v>13</v>
      </c>
      <c r="C10" s="340" t="s">
        <v>691</v>
      </c>
      <c r="D10" s="239">
        <v>298896</v>
      </c>
      <c r="E10" s="239">
        <f t="shared" si="19"/>
        <v>78331</v>
      </c>
      <c r="F10" s="244">
        <f t="shared" si="0"/>
        <v>26.206774262619774</v>
      </c>
      <c r="G10" s="239">
        <f t="shared" si="1"/>
        <v>3372</v>
      </c>
      <c r="H10" s="244">
        <f t="shared" si="2"/>
        <v>1.1281515978801993</v>
      </c>
      <c r="I10" s="239">
        <v>1772</v>
      </c>
      <c r="J10" s="244">
        <f t="shared" si="3"/>
        <v>0.59284834858947588</v>
      </c>
      <c r="K10" s="239">
        <v>37798</v>
      </c>
      <c r="L10" s="244">
        <f t="shared" si="4"/>
        <v>12.645870135431721</v>
      </c>
      <c r="M10" s="239">
        <v>0</v>
      </c>
      <c r="N10" s="244">
        <f t="shared" si="5"/>
        <v>0</v>
      </c>
      <c r="O10" s="239">
        <v>37161</v>
      </c>
      <c r="P10" s="244">
        <f t="shared" si="6"/>
        <v>12.432752529307853</v>
      </c>
      <c r="Q10" s="239">
        <v>1600</v>
      </c>
      <c r="R10" s="244">
        <f t="shared" si="7"/>
        <v>0.53530324929072326</v>
      </c>
      <c r="S10" s="239">
        <v>0</v>
      </c>
      <c r="T10" s="381">
        <f t="shared" si="8"/>
        <v>0</v>
      </c>
      <c r="U10" s="382">
        <v>17265</v>
      </c>
      <c r="V10" s="239">
        <f t="shared" si="9"/>
        <v>9493</v>
      </c>
      <c r="W10" s="244">
        <f t="shared" si="10"/>
        <v>54.984071821604395</v>
      </c>
      <c r="X10" s="239">
        <f t="shared" si="11"/>
        <v>717</v>
      </c>
      <c r="Y10" s="244">
        <f t="shared" si="12"/>
        <v>4.1529105125977415</v>
      </c>
      <c r="Z10" s="239">
        <v>717</v>
      </c>
      <c r="AA10" s="244">
        <f t="shared" si="13"/>
        <v>4.1529105125977415</v>
      </c>
      <c r="AB10" s="239">
        <v>8776</v>
      </c>
      <c r="AC10" s="244">
        <f t="shared" si="14"/>
        <v>50.831161309006653</v>
      </c>
      <c r="AD10" s="239">
        <v>0</v>
      </c>
      <c r="AE10" s="244">
        <f t="shared" si="15"/>
        <v>0</v>
      </c>
      <c r="AF10" s="239">
        <v>0</v>
      </c>
      <c r="AG10" s="244">
        <f t="shared" si="16"/>
        <v>0</v>
      </c>
      <c r="AH10" s="239">
        <v>0</v>
      </c>
      <c r="AI10" s="244">
        <f t="shared" si="17"/>
        <v>0</v>
      </c>
      <c r="AJ10" s="239">
        <v>0</v>
      </c>
      <c r="AK10" s="244">
        <f t="shared" si="18"/>
        <v>0</v>
      </c>
    </row>
    <row r="11" spans="1:37" s="10" customFormat="1" ht="14.15" customHeight="1">
      <c r="A11" s="912"/>
      <c r="B11" s="340">
        <v>90</v>
      </c>
      <c r="C11" s="340" t="s">
        <v>694</v>
      </c>
      <c r="D11" s="239">
        <v>85206</v>
      </c>
      <c r="E11" s="239">
        <f t="shared" si="19"/>
        <v>8793</v>
      </c>
      <c r="F11" s="244">
        <f t="shared" si="0"/>
        <v>10.319695796070699</v>
      </c>
      <c r="G11" s="239">
        <f t="shared" si="1"/>
        <v>8793</v>
      </c>
      <c r="H11" s="244">
        <f t="shared" si="2"/>
        <v>10.319695796070699</v>
      </c>
      <c r="I11" s="239">
        <v>0</v>
      </c>
      <c r="J11" s="244">
        <f t="shared" si="3"/>
        <v>0</v>
      </c>
      <c r="K11" s="239">
        <v>0</v>
      </c>
      <c r="L11" s="244">
        <f t="shared" si="4"/>
        <v>0</v>
      </c>
      <c r="M11" s="239">
        <v>0</v>
      </c>
      <c r="N11" s="244">
        <f t="shared" si="5"/>
        <v>0</v>
      </c>
      <c r="O11" s="239">
        <v>0</v>
      </c>
      <c r="P11" s="244">
        <f t="shared" si="6"/>
        <v>0</v>
      </c>
      <c r="Q11" s="239">
        <v>8793</v>
      </c>
      <c r="R11" s="244">
        <f t="shared" si="7"/>
        <v>10.319695796070699</v>
      </c>
      <c r="S11" s="239">
        <v>0</v>
      </c>
      <c r="T11" s="381">
        <f t="shared" si="8"/>
        <v>0</v>
      </c>
      <c r="U11" s="382">
        <v>6396</v>
      </c>
      <c r="V11" s="239">
        <f t="shared" si="9"/>
        <v>863</v>
      </c>
      <c r="W11" s="244">
        <f t="shared" si="10"/>
        <v>13.492808005003127</v>
      </c>
      <c r="X11" s="239">
        <f t="shared" si="11"/>
        <v>863</v>
      </c>
      <c r="Y11" s="244">
        <f t="shared" si="12"/>
        <v>13.492808005003127</v>
      </c>
      <c r="Z11" s="239">
        <v>0</v>
      </c>
      <c r="AA11" s="244">
        <f t="shared" si="13"/>
        <v>0</v>
      </c>
      <c r="AB11" s="239">
        <v>0</v>
      </c>
      <c r="AC11" s="244">
        <f t="shared" si="14"/>
        <v>0</v>
      </c>
      <c r="AD11" s="239">
        <v>0</v>
      </c>
      <c r="AE11" s="244">
        <f t="shared" si="15"/>
        <v>0</v>
      </c>
      <c r="AF11" s="239">
        <v>0</v>
      </c>
      <c r="AG11" s="244">
        <f t="shared" si="16"/>
        <v>0</v>
      </c>
      <c r="AH11" s="239">
        <v>863</v>
      </c>
      <c r="AI11" s="244">
        <f t="shared" si="17"/>
        <v>13.492808005003127</v>
      </c>
      <c r="AJ11" s="239">
        <v>0</v>
      </c>
      <c r="AK11" s="244">
        <f t="shared" si="18"/>
        <v>0</v>
      </c>
    </row>
    <row r="12" spans="1:37" s="10" customFormat="1" ht="14.15" customHeight="1">
      <c r="A12" s="912"/>
      <c r="B12" s="340">
        <v>50</v>
      </c>
      <c r="C12" s="340" t="s">
        <v>373</v>
      </c>
      <c r="D12" s="239">
        <v>93680</v>
      </c>
      <c r="E12" s="239">
        <f t="shared" si="19"/>
        <v>18959</v>
      </c>
      <c r="F12" s="244">
        <f t="shared" si="0"/>
        <v>20.238044406490179</v>
      </c>
      <c r="G12" s="239">
        <f t="shared" si="1"/>
        <v>642</v>
      </c>
      <c r="H12" s="244">
        <f t="shared" si="2"/>
        <v>0.68531169940222036</v>
      </c>
      <c r="I12" s="239">
        <v>93</v>
      </c>
      <c r="J12" s="244">
        <f t="shared" si="3"/>
        <v>9.9274124679760892E-2</v>
      </c>
      <c r="K12" s="239">
        <v>18317</v>
      </c>
      <c r="L12" s="244">
        <f t="shared" si="4"/>
        <v>19.552732707087959</v>
      </c>
      <c r="M12" s="239">
        <v>125</v>
      </c>
      <c r="N12" s="244">
        <f t="shared" si="5"/>
        <v>0.1334329632792485</v>
      </c>
      <c r="O12" s="239">
        <v>0</v>
      </c>
      <c r="P12" s="244">
        <f t="shared" si="6"/>
        <v>0</v>
      </c>
      <c r="Q12" s="239">
        <v>424</v>
      </c>
      <c r="R12" s="244">
        <f t="shared" si="7"/>
        <v>0.45260461144321096</v>
      </c>
      <c r="S12" s="239">
        <v>0</v>
      </c>
      <c r="T12" s="381">
        <f t="shared" si="8"/>
        <v>0</v>
      </c>
      <c r="U12" s="382">
        <v>34225</v>
      </c>
      <c r="V12" s="239">
        <f t="shared" si="9"/>
        <v>12146</v>
      </c>
      <c r="W12" s="244">
        <f t="shared" si="10"/>
        <v>35.488677867056246</v>
      </c>
      <c r="X12" s="239">
        <f t="shared" si="11"/>
        <v>147</v>
      </c>
      <c r="Y12" s="244">
        <f t="shared" si="12"/>
        <v>0.42951059167275379</v>
      </c>
      <c r="Z12" s="239">
        <v>93</v>
      </c>
      <c r="AA12" s="244">
        <f t="shared" si="13"/>
        <v>0.27173119065010953</v>
      </c>
      <c r="AB12" s="239">
        <v>11999</v>
      </c>
      <c r="AC12" s="244">
        <f t="shared" si="14"/>
        <v>35.059167275383487</v>
      </c>
      <c r="AD12" s="239">
        <v>54</v>
      </c>
      <c r="AE12" s="244">
        <f t="shared" si="15"/>
        <v>0.15777940102264426</v>
      </c>
      <c r="AF12" s="239">
        <v>0</v>
      </c>
      <c r="AG12" s="244">
        <f t="shared" si="16"/>
        <v>0</v>
      </c>
      <c r="AH12" s="239">
        <v>0</v>
      </c>
      <c r="AI12" s="244">
        <f t="shared" si="17"/>
        <v>0</v>
      </c>
      <c r="AJ12" s="239">
        <v>0</v>
      </c>
      <c r="AK12" s="244">
        <f t="shared" si="18"/>
        <v>0</v>
      </c>
    </row>
    <row r="13" spans="1:37" s="10" customFormat="1" ht="14.15" customHeight="1">
      <c r="A13" s="912"/>
      <c r="B13" s="340">
        <v>37</v>
      </c>
      <c r="C13" s="340" t="s">
        <v>699</v>
      </c>
      <c r="D13" s="239">
        <v>1080849</v>
      </c>
      <c r="E13" s="239">
        <f t="shared" si="19"/>
        <v>336368</v>
      </c>
      <c r="F13" s="244">
        <f t="shared" si="0"/>
        <v>31.120720840746486</v>
      </c>
      <c r="G13" s="239">
        <f t="shared" si="1"/>
        <v>107502</v>
      </c>
      <c r="H13" s="244">
        <f t="shared" si="2"/>
        <v>9.9460701726143057</v>
      </c>
      <c r="I13" s="239">
        <v>59997</v>
      </c>
      <c r="J13" s="244">
        <f t="shared" si="3"/>
        <v>5.5509141424935393</v>
      </c>
      <c r="K13" s="239">
        <v>228866</v>
      </c>
      <c r="L13" s="244">
        <f t="shared" si="4"/>
        <v>21.17465066813218</v>
      </c>
      <c r="M13" s="239">
        <v>16082</v>
      </c>
      <c r="N13" s="244">
        <f t="shared" si="5"/>
        <v>1.4879044158804791</v>
      </c>
      <c r="O13" s="239">
        <v>0</v>
      </c>
      <c r="P13" s="244">
        <f t="shared" si="6"/>
        <v>0</v>
      </c>
      <c r="Q13" s="239">
        <v>27545</v>
      </c>
      <c r="R13" s="244">
        <f t="shared" si="7"/>
        <v>2.548459590562604</v>
      </c>
      <c r="S13" s="239">
        <v>3878</v>
      </c>
      <c r="T13" s="381">
        <f t="shared" si="8"/>
        <v>0.35879202367768298</v>
      </c>
      <c r="U13" s="382">
        <v>153501</v>
      </c>
      <c r="V13" s="239">
        <f t="shared" si="9"/>
        <v>54510</v>
      </c>
      <c r="W13" s="244">
        <f t="shared" si="10"/>
        <v>35.511169308343263</v>
      </c>
      <c r="X13" s="239">
        <f t="shared" si="11"/>
        <v>23413</v>
      </c>
      <c r="Y13" s="244">
        <f t="shared" si="12"/>
        <v>15.2526693637175</v>
      </c>
      <c r="Z13" s="239">
        <v>13563</v>
      </c>
      <c r="AA13" s="244">
        <f t="shared" si="13"/>
        <v>8.8357730568530499</v>
      </c>
      <c r="AB13" s="239">
        <v>31097</v>
      </c>
      <c r="AC13" s="244">
        <f t="shared" si="14"/>
        <v>20.258499944625768</v>
      </c>
      <c r="AD13" s="239">
        <v>4716</v>
      </c>
      <c r="AE13" s="244">
        <f t="shared" si="15"/>
        <v>3.0722926886469795</v>
      </c>
      <c r="AF13" s="239">
        <v>0</v>
      </c>
      <c r="AG13" s="244">
        <f t="shared" si="16"/>
        <v>0</v>
      </c>
      <c r="AH13" s="239">
        <v>5023</v>
      </c>
      <c r="AI13" s="244">
        <f t="shared" si="17"/>
        <v>3.2722913857238716</v>
      </c>
      <c r="AJ13" s="239">
        <v>111</v>
      </c>
      <c r="AK13" s="244">
        <f t="shared" si="18"/>
        <v>7.2312232493599388E-2</v>
      </c>
    </row>
    <row r="14" spans="1:37" s="10" customFormat="1" ht="14.15" customHeight="1" thickBot="1">
      <c r="A14" s="912"/>
      <c r="B14" s="342">
        <v>86</v>
      </c>
      <c r="C14" s="342" t="s">
        <v>701</v>
      </c>
      <c r="D14" s="247">
        <v>41054</v>
      </c>
      <c r="E14" s="239">
        <f t="shared" si="19"/>
        <v>6422</v>
      </c>
      <c r="F14" s="251"/>
      <c r="G14" s="247">
        <f t="shared" si="1"/>
        <v>6050</v>
      </c>
      <c r="H14" s="251">
        <f t="shared" si="2"/>
        <v>14.736688264237346</v>
      </c>
      <c r="I14" s="247">
        <v>1543</v>
      </c>
      <c r="J14" s="251">
        <f t="shared" si="3"/>
        <v>3.7584644614410285</v>
      </c>
      <c r="K14" s="247">
        <v>372</v>
      </c>
      <c r="L14" s="251">
        <f t="shared" si="4"/>
        <v>0.90612364203244511</v>
      </c>
      <c r="M14" s="247">
        <v>0</v>
      </c>
      <c r="N14" s="251">
        <f t="shared" si="5"/>
        <v>0</v>
      </c>
      <c r="O14" s="247">
        <v>0</v>
      </c>
      <c r="P14" s="251">
        <f t="shared" si="6"/>
        <v>0</v>
      </c>
      <c r="Q14" s="247">
        <v>4507</v>
      </c>
      <c r="R14" s="251">
        <f t="shared" si="7"/>
        <v>10.978223802796316</v>
      </c>
      <c r="S14" s="247">
        <v>0</v>
      </c>
      <c r="T14" s="383">
        <f t="shared" si="8"/>
        <v>0</v>
      </c>
      <c r="U14" s="384">
        <v>3575</v>
      </c>
      <c r="V14" s="247">
        <f t="shared" si="9"/>
        <v>1462</v>
      </c>
      <c r="W14" s="251">
        <f t="shared" si="10"/>
        <v>40.895104895104893</v>
      </c>
      <c r="X14" s="293">
        <f t="shared" si="11"/>
        <v>1090</v>
      </c>
      <c r="Y14" s="251">
        <f t="shared" si="12"/>
        <v>30.48951048951049</v>
      </c>
      <c r="Z14" s="247">
        <v>0</v>
      </c>
      <c r="AA14" s="251">
        <f t="shared" si="13"/>
        <v>0</v>
      </c>
      <c r="AB14" s="247">
        <v>372</v>
      </c>
      <c r="AC14" s="251">
        <f t="shared" si="14"/>
        <v>10.405594405594405</v>
      </c>
      <c r="AD14" s="247">
        <v>0</v>
      </c>
      <c r="AE14" s="251">
        <f t="shared" si="15"/>
        <v>0</v>
      </c>
      <c r="AF14" s="247">
        <v>0</v>
      </c>
      <c r="AG14" s="251">
        <f t="shared" si="16"/>
        <v>0</v>
      </c>
      <c r="AH14" s="247">
        <v>1090</v>
      </c>
      <c r="AI14" s="251">
        <f t="shared" si="17"/>
        <v>30.48951048951049</v>
      </c>
      <c r="AJ14" s="247">
        <v>0</v>
      </c>
      <c r="AK14" s="251">
        <f t="shared" si="18"/>
        <v>0</v>
      </c>
    </row>
    <row r="15" spans="1:37" s="343" customFormat="1" ht="14.15" customHeight="1" thickTop="1">
      <c r="A15" s="912"/>
      <c r="B15" s="252"/>
      <c r="C15" s="385" t="s">
        <v>34</v>
      </c>
      <c r="D15" s="259">
        <f>SUM(D8:D14)</f>
        <v>2228355</v>
      </c>
      <c r="E15" s="259">
        <f>SUM(E8:E14)</f>
        <v>557473</v>
      </c>
      <c r="F15" s="261">
        <f>+ROUND(E15/$D15*100,1)</f>
        <v>25</v>
      </c>
      <c r="G15" s="259">
        <f>SUM(G8:G14)</f>
        <v>177639</v>
      </c>
      <c r="H15" s="261">
        <f>+ROUND(G15/$D15*100,1)</f>
        <v>8</v>
      </c>
      <c r="I15" s="259">
        <f>SUM(I8:I14)</f>
        <v>70294</v>
      </c>
      <c r="J15" s="261">
        <f>+ROUND(I15/$D15*100,1)</f>
        <v>3.2</v>
      </c>
      <c r="K15" s="259">
        <f>SUM(K8:K14)</f>
        <v>342673</v>
      </c>
      <c r="L15" s="261">
        <f>+ROUND(K15/$D15*100,1)</f>
        <v>15.4</v>
      </c>
      <c r="M15" s="259">
        <f>SUM(M8:M14)</f>
        <v>16207</v>
      </c>
      <c r="N15" s="261">
        <f>+ROUND(M15/$D15*100,1)</f>
        <v>0.7</v>
      </c>
      <c r="O15" s="259">
        <f>SUM(O8:O14)</f>
        <v>37161</v>
      </c>
      <c r="P15" s="261">
        <f>+ROUND(O15/$D15*100,1)</f>
        <v>1.7</v>
      </c>
      <c r="Q15" s="259">
        <f>SUM(Q8:Q14)</f>
        <v>87260</v>
      </c>
      <c r="R15" s="261">
        <f>+ROUND(Q15/$D15*100,1)</f>
        <v>3.9</v>
      </c>
      <c r="S15" s="259">
        <f>SUM(S8:S14)</f>
        <v>3878</v>
      </c>
      <c r="T15" s="386">
        <f>+ROUND(S15/$D15*100,1)</f>
        <v>0.2</v>
      </c>
      <c r="U15" s="259">
        <f>SUM(U8:U14)</f>
        <v>344950</v>
      </c>
      <c r="V15" s="259">
        <f>SUM(V8:V14)</f>
        <v>89497</v>
      </c>
      <c r="W15" s="261">
        <f>+ROUND(V15/$U15*100,1)</f>
        <v>25.9</v>
      </c>
      <c r="X15" s="259">
        <f>SUM(X8:X14)</f>
        <v>33460</v>
      </c>
      <c r="Y15" s="261">
        <f>+ROUND(X15/$U15*100,1)</f>
        <v>9.6999999999999993</v>
      </c>
      <c r="Z15" s="259">
        <f>SUM(Z8:Z14)</f>
        <v>18830</v>
      </c>
      <c r="AA15" s="261">
        <f>+ROUND(Z15/$U15*100,1)</f>
        <v>5.5</v>
      </c>
      <c r="AB15" s="259">
        <f>SUM(AB8:AB14)</f>
        <v>56037</v>
      </c>
      <c r="AC15" s="261">
        <f>+ROUND(AB15/$U15*100,1)</f>
        <v>16.2</v>
      </c>
      <c r="AD15" s="259">
        <f>SUM(AD8:AD14)</f>
        <v>4770</v>
      </c>
      <c r="AE15" s="261">
        <f>+ROUND(AD15/$U15*100,1)</f>
        <v>1.4</v>
      </c>
      <c r="AF15" s="259">
        <f>SUM(AF8:AF14)</f>
        <v>0</v>
      </c>
      <c r="AG15" s="261">
        <f>+ROUND(AF15/$U15*100,1)</f>
        <v>0</v>
      </c>
      <c r="AH15" s="259">
        <f>SUM(AH8:AH14)</f>
        <v>9749</v>
      </c>
      <c r="AI15" s="261">
        <f>+ROUND(AH15/$U15*100,1)</f>
        <v>2.8</v>
      </c>
      <c r="AJ15" s="259">
        <f>SUM(AJ8:AJ14)</f>
        <v>111</v>
      </c>
      <c r="AK15" s="261">
        <f>+ROUND(AJ15/$U15*100,1)</f>
        <v>0</v>
      </c>
    </row>
    <row r="16" spans="1:37" s="343" customFormat="1" ht="14.15" customHeight="1">
      <c r="A16" s="912"/>
      <c r="B16" s="263"/>
      <c r="C16" s="357"/>
      <c r="D16" s="270"/>
      <c r="E16" s="270"/>
      <c r="F16" s="272"/>
      <c r="G16" s="270"/>
      <c r="H16" s="272"/>
      <c r="I16" s="270"/>
      <c r="J16" s="272"/>
      <c r="K16" s="270"/>
      <c r="L16" s="272"/>
      <c r="M16" s="270"/>
      <c r="N16" s="272"/>
      <c r="O16" s="270"/>
      <c r="P16" s="272"/>
      <c r="Q16" s="270"/>
      <c r="R16" s="272"/>
      <c r="S16" s="270"/>
      <c r="T16" s="387"/>
      <c r="U16" s="388"/>
      <c r="V16" s="270"/>
      <c r="W16" s="272"/>
      <c r="X16" s="270"/>
      <c r="Y16" s="272"/>
      <c r="Z16" s="270"/>
      <c r="AA16" s="272"/>
      <c r="AB16" s="270"/>
      <c r="AC16" s="272"/>
      <c r="AD16" s="270"/>
      <c r="AE16" s="272"/>
      <c r="AF16" s="270"/>
      <c r="AG16" s="272"/>
      <c r="AH16" s="270"/>
      <c r="AI16" s="272"/>
      <c r="AJ16" s="270"/>
      <c r="AK16" s="272"/>
    </row>
    <row r="17" spans="1:37" s="10" customFormat="1" ht="14.15" customHeight="1">
      <c r="A17" s="912" t="s">
        <v>704</v>
      </c>
      <c r="B17" s="339">
        <v>3</v>
      </c>
      <c r="C17" s="339" t="s">
        <v>705</v>
      </c>
      <c r="D17" s="2071">
        <v>1031153</v>
      </c>
      <c r="E17" s="231">
        <f t="shared" ref="E17:E19" si="20">I17+K17+M17+O17+Q17+S17</f>
        <v>289536</v>
      </c>
      <c r="F17" s="236">
        <f>E17/$D17*100</f>
        <v>28.078859296341086</v>
      </c>
      <c r="G17" s="231">
        <f t="shared" ref="G17:G19" si="21">I17+M17+Q17+S17</f>
        <v>104627</v>
      </c>
      <c r="H17" s="236">
        <f>G17/$D17*100</f>
        <v>10.146602880464878</v>
      </c>
      <c r="I17" s="231">
        <v>48054</v>
      </c>
      <c r="J17" s="236">
        <f>I17/$D17*100</f>
        <v>4.6602201613145677</v>
      </c>
      <c r="K17" s="231">
        <v>184909</v>
      </c>
      <c r="L17" s="236">
        <f>K17/$D17*100</f>
        <v>17.932256415876207</v>
      </c>
      <c r="M17" s="231">
        <v>5425</v>
      </c>
      <c r="N17" s="236">
        <f>M17/$D17*100</f>
        <v>0.52611009229474193</v>
      </c>
      <c r="O17" s="231">
        <v>0</v>
      </c>
      <c r="P17" s="236">
        <f>O17/$D17*100</f>
        <v>0</v>
      </c>
      <c r="Q17" s="231">
        <v>48198</v>
      </c>
      <c r="R17" s="236">
        <f>Q17/$D17*100</f>
        <v>4.674185111229856</v>
      </c>
      <c r="S17" s="231">
        <v>2950</v>
      </c>
      <c r="T17" s="379">
        <f>S17/$D17*100</f>
        <v>0.28608751562571222</v>
      </c>
      <c r="U17" s="380">
        <v>86850</v>
      </c>
      <c r="V17" s="306">
        <f t="shared" ref="V17:V19" si="22">Z17+AB17+AD17+AF17+AH17+AJ17</f>
        <v>33821</v>
      </c>
      <c r="W17" s="389">
        <f>V17/$U17*100</f>
        <v>38.941853770869315</v>
      </c>
      <c r="X17" s="306">
        <f t="shared" ref="X17:X19" si="23">Z17+AD17+AH17+AJ17</f>
        <v>23848</v>
      </c>
      <c r="Y17" s="236">
        <f>X17/$U17*100</f>
        <v>27.458837075417385</v>
      </c>
      <c r="Z17" s="231">
        <v>11803</v>
      </c>
      <c r="AA17" s="236">
        <f>Z17/$U17*100</f>
        <v>13.590097869890617</v>
      </c>
      <c r="AB17" s="231">
        <v>9973</v>
      </c>
      <c r="AC17" s="236">
        <f>AB17/$U17*100</f>
        <v>11.483016695451928</v>
      </c>
      <c r="AD17" s="231">
        <v>5425</v>
      </c>
      <c r="AE17" s="236">
        <f>AD17/$U17*100</f>
        <v>6.2464018422567644</v>
      </c>
      <c r="AF17" s="231">
        <v>0</v>
      </c>
      <c r="AG17" s="236">
        <f>AF17/$U17*100</f>
        <v>0</v>
      </c>
      <c r="AH17" s="231">
        <v>6435</v>
      </c>
      <c r="AI17" s="236">
        <f>AH17/$U17*100</f>
        <v>7.409326424870466</v>
      </c>
      <c r="AJ17" s="231">
        <v>185</v>
      </c>
      <c r="AK17" s="236">
        <f>AJ17/$U17*100</f>
        <v>0.21301093839953944</v>
      </c>
    </row>
    <row r="18" spans="1:37" s="10" customFormat="1" ht="14.15" customHeight="1">
      <c r="A18" s="912"/>
      <c r="B18" s="340">
        <v>53</v>
      </c>
      <c r="C18" s="340" t="s">
        <v>707</v>
      </c>
      <c r="D18" s="2103">
        <v>354603</v>
      </c>
      <c r="E18" s="239">
        <f t="shared" si="20"/>
        <v>42020</v>
      </c>
      <c r="F18" s="244">
        <f>E18/$D18*100</f>
        <v>11.849871546490018</v>
      </c>
      <c r="G18" s="239">
        <f t="shared" si="21"/>
        <v>1212</v>
      </c>
      <c r="H18" s="244">
        <f>G18/$D18*100</f>
        <v>0.34179067858985962</v>
      </c>
      <c r="I18" s="239">
        <v>384</v>
      </c>
      <c r="J18" s="244">
        <f>I18/$D18*100</f>
        <v>0.10829011598886643</v>
      </c>
      <c r="K18" s="239">
        <v>40808</v>
      </c>
      <c r="L18" s="244">
        <f>K18/$D18*100</f>
        <v>11.508080867900158</v>
      </c>
      <c r="M18" s="239">
        <v>0</v>
      </c>
      <c r="N18" s="244">
        <f>M18/$D18*100</f>
        <v>0</v>
      </c>
      <c r="O18" s="239">
        <v>0</v>
      </c>
      <c r="P18" s="244">
        <f>O18/$D18*100</f>
        <v>0</v>
      </c>
      <c r="Q18" s="239">
        <v>828</v>
      </c>
      <c r="R18" s="244">
        <f>Q18/$D18*100</f>
        <v>0.23350056260099319</v>
      </c>
      <c r="S18" s="239">
        <v>0</v>
      </c>
      <c r="T18" s="381">
        <f>S18/$D18*100</f>
        <v>0</v>
      </c>
      <c r="U18" s="382">
        <v>53521</v>
      </c>
      <c r="V18" s="239">
        <f t="shared" si="22"/>
        <v>12324</v>
      </c>
      <c r="W18" s="244">
        <f>V18/$U18*100</f>
        <v>23.026475589021132</v>
      </c>
      <c r="X18" s="239">
        <f t="shared" si="23"/>
        <v>417</v>
      </c>
      <c r="Y18" s="244">
        <f>X18/$U18*100</f>
        <v>0.77913342426337318</v>
      </c>
      <c r="Z18" s="239">
        <v>179</v>
      </c>
      <c r="AA18" s="244">
        <f>Z18/$U18*100</f>
        <v>0.33444816053511706</v>
      </c>
      <c r="AB18" s="239">
        <v>11907</v>
      </c>
      <c r="AC18" s="244">
        <f>AB18/$U18*100</f>
        <v>22.247342164757757</v>
      </c>
      <c r="AD18" s="239">
        <v>0</v>
      </c>
      <c r="AE18" s="244">
        <f>AD18/$U18*100</f>
        <v>0</v>
      </c>
      <c r="AF18" s="239">
        <v>0</v>
      </c>
      <c r="AG18" s="244">
        <f>AF18/$U18*100</f>
        <v>0</v>
      </c>
      <c r="AH18" s="239">
        <v>238</v>
      </c>
      <c r="AI18" s="244">
        <f>AH18/$U18*100</f>
        <v>0.44468526372825623</v>
      </c>
      <c r="AJ18" s="239">
        <v>0</v>
      </c>
      <c r="AK18" s="244">
        <f>AJ18/$U18*100</f>
        <v>0</v>
      </c>
    </row>
    <row r="19" spans="1:37" s="10" customFormat="1" ht="14.15" customHeight="1" thickBot="1">
      <c r="A19" s="912"/>
      <c r="B19" s="342">
        <v>92</v>
      </c>
      <c r="C19" s="342" t="s">
        <v>819</v>
      </c>
      <c r="D19" s="2104">
        <v>203719</v>
      </c>
      <c r="E19" s="247">
        <f t="shared" si="20"/>
        <v>26846</v>
      </c>
      <c r="F19" s="251">
        <f>E19/$D19*100</f>
        <v>13.177955909856223</v>
      </c>
      <c r="G19" s="247">
        <f t="shared" si="21"/>
        <v>26846</v>
      </c>
      <c r="H19" s="251">
        <f>G19/$D19*100</f>
        <v>13.177955909856223</v>
      </c>
      <c r="I19" s="247">
        <v>0</v>
      </c>
      <c r="J19" s="251">
        <f>I19/$D19*100</f>
        <v>0</v>
      </c>
      <c r="K19" s="247">
        <v>0</v>
      </c>
      <c r="L19" s="251">
        <f>K19/$D19*100</f>
        <v>0</v>
      </c>
      <c r="M19" s="247">
        <v>0</v>
      </c>
      <c r="N19" s="251">
        <f>M19/$D19*100</f>
        <v>0</v>
      </c>
      <c r="O19" s="247">
        <v>0</v>
      </c>
      <c r="P19" s="251">
        <f>O19/$D19*100</f>
        <v>0</v>
      </c>
      <c r="Q19" s="247">
        <v>26846</v>
      </c>
      <c r="R19" s="251">
        <f>Q19/$D19*100</f>
        <v>13.177955909856223</v>
      </c>
      <c r="S19" s="247">
        <v>0</v>
      </c>
      <c r="T19" s="383">
        <f>S19/$D19*100</f>
        <v>0</v>
      </c>
      <c r="U19" s="384">
        <v>203719</v>
      </c>
      <c r="V19" s="293">
        <f t="shared" si="22"/>
        <v>26846</v>
      </c>
      <c r="W19" s="298">
        <f>V19/$U19*100</f>
        <v>13.177955909856223</v>
      </c>
      <c r="X19" s="293">
        <f t="shared" si="23"/>
        <v>26846</v>
      </c>
      <c r="Y19" s="251">
        <f>X19/$U19*100</f>
        <v>13.177955909856223</v>
      </c>
      <c r="Z19" s="247">
        <v>0</v>
      </c>
      <c r="AA19" s="251">
        <f>Z19/$U19*100</f>
        <v>0</v>
      </c>
      <c r="AB19" s="247">
        <v>0</v>
      </c>
      <c r="AC19" s="251">
        <f>AB19/$U19*100</f>
        <v>0</v>
      </c>
      <c r="AD19" s="247">
        <v>0</v>
      </c>
      <c r="AE19" s="251">
        <f>AD19/$U19*100</f>
        <v>0</v>
      </c>
      <c r="AF19" s="247">
        <v>0</v>
      </c>
      <c r="AG19" s="251">
        <f>AF19/$U19*100</f>
        <v>0</v>
      </c>
      <c r="AH19" s="247">
        <v>26846</v>
      </c>
      <c r="AI19" s="251">
        <f>AH19/$U19*100</f>
        <v>13.177955909856223</v>
      </c>
      <c r="AJ19" s="247">
        <v>0</v>
      </c>
      <c r="AK19" s="251">
        <f>AJ19/$U19*100</f>
        <v>0</v>
      </c>
    </row>
    <row r="20" spans="1:37" s="343" customFormat="1" ht="14.15" customHeight="1" thickTop="1">
      <c r="A20" s="912"/>
      <c r="B20" s="252"/>
      <c r="C20" s="385" t="s">
        <v>34</v>
      </c>
      <c r="D20" s="259">
        <f>SUM(D17:D19)</f>
        <v>1589475</v>
      </c>
      <c r="E20" s="259">
        <f>SUM(E17:E19)</f>
        <v>358402</v>
      </c>
      <c r="F20" s="261">
        <f>+ROUND(E20/$D20*100,1)</f>
        <v>22.5</v>
      </c>
      <c r="G20" s="259">
        <f>SUM(G17:G19)</f>
        <v>132685</v>
      </c>
      <c r="H20" s="261">
        <f>+ROUND(G20/$D20*100,1)</f>
        <v>8.3000000000000007</v>
      </c>
      <c r="I20" s="259">
        <f>SUM(I17:I19)</f>
        <v>48438</v>
      </c>
      <c r="J20" s="261">
        <f>+ROUND(I20/$D20*100,1)</f>
        <v>3</v>
      </c>
      <c r="K20" s="259">
        <f>SUM(K17:K19)</f>
        <v>225717</v>
      </c>
      <c r="L20" s="261">
        <f>+ROUND(K20/$D20*100,1)</f>
        <v>14.2</v>
      </c>
      <c r="M20" s="259">
        <f>SUM(M17:M19)</f>
        <v>5425</v>
      </c>
      <c r="N20" s="261">
        <f>+ROUND(M20/$D20*100,1)</f>
        <v>0.3</v>
      </c>
      <c r="O20" s="259">
        <f>SUM(O17:O19)</f>
        <v>0</v>
      </c>
      <c r="P20" s="261">
        <f>+ROUND(O20/$D20*100,1)</f>
        <v>0</v>
      </c>
      <c r="Q20" s="259">
        <f>SUM(Q17:Q19)</f>
        <v>75872</v>
      </c>
      <c r="R20" s="261">
        <f>+ROUND(Q20/$D20*100,1)</f>
        <v>4.8</v>
      </c>
      <c r="S20" s="259">
        <f>SUM(S17:S19)</f>
        <v>2950</v>
      </c>
      <c r="T20" s="386">
        <f>+ROUND(S20/$D20*100,1)</f>
        <v>0.2</v>
      </c>
      <c r="U20" s="259">
        <f>SUM(U17:U19)</f>
        <v>344090</v>
      </c>
      <c r="V20" s="259">
        <f>SUM(V17:V19)</f>
        <v>72991</v>
      </c>
      <c r="W20" s="261">
        <f>+ROUND(V20/$U20*100,1)</f>
        <v>21.2</v>
      </c>
      <c r="X20" s="259">
        <f>+SUM(X17:X19)</f>
        <v>51111</v>
      </c>
      <c r="Y20" s="261">
        <f>+ROUND(X20/$U20*100,1)</f>
        <v>14.9</v>
      </c>
      <c r="Z20" s="259">
        <f>SUM(Z17:Z19)</f>
        <v>11982</v>
      </c>
      <c r="AA20" s="261">
        <f>+ROUND(Z20/$U20*100,1)</f>
        <v>3.5</v>
      </c>
      <c r="AB20" s="259">
        <f>SUM(AB17:AB19)</f>
        <v>21880</v>
      </c>
      <c r="AC20" s="261">
        <f>+ROUND(AB20/$U20*100,1)</f>
        <v>6.4</v>
      </c>
      <c r="AD20" s="259">
        <f>SUM(AD17:AD19)</f>
        <v>5425</v>
      </c>
      <c r="AE20" s="261">
        <f>+ROUND(AD20/$U20*100,1)</f>
        <v>1.6</v>
      </c>
      <c r="AF20" s="259">
        <f>SUM(AF17:AF19)</f>
        <v>0</v>
      </c>
      <c r="AG20" s="261">
        <f>+ROUND(AF20/$U20*100,1)</f>
        <v>0</v>
      </c>
      <c r="AH20" s="259">
        <f>SUM(AH17:AH19)</f>
        <v>33519</v>
      </c>
      <c r="AI20" s="261">
        <f>+ROUND(AH20/$U20*100,1)</f>
        <v>9.6999999999999993</v>
      </c>
      <c r="AJ20" s="259">
        <f>SUM(AJ17:AJ19)</f>
        <v>185</v>
      </c>
      <c r="AK20" s="261">
        <f>+ROUND(AJ20/$U20*100,1)</f>
        <v>0.1</v>
      </c>
    </row>
    <row r="21" spans="1:37" s="343" customFormat="1" ht="14.15" customHeight="1">
      <c r="A21" s="912"/>
      <c r="B21" s="263"/>
      <c r="C21" s="357"/>
      <c r="D21" s="270"/>
      <c r="E21" s="270"/>
      <c r="F21" s="272"/>
      <c r="G21" s="270"/>
      <c r="H21" s="272"/>
      <c r="I21" s="270"/>
      <c r="J21" s="272"/>
      <c r="K21" s="270"/>
      <c r="L21" s="272"/>
      <c r="M21" s="270"/>
      <c r="N21" s="272"/>
      <c r="O21" s="270"/>
      <c r="P21" s="272"/>
      <c r="Q21" s="270"/>
      <c r="R21" s="272"/>
      <c r="S21" s="270"/>
      <c r="T21" s="387"/>
      <c r="U21" s="388"/>
      <c r="V21" s="270"/>
      <c r="W21" s="272"/>
      <c r="X21" s="270"/>
      <c r="Y21" s="272"/>
      <c r="Z21" s="270"/>
      <c r="AA21" s="272"/>
      <c r="AB21" s="270"/>
      <c r="AC21" s="272"/>
      <c r="AD21" s="270"/>
      <c r="AE21" s="272"/>
      <c r="AF21" s="270"/>
      <c r="AG21" s="272"/>
      <c r="AH21" s="270"/>
      <c r="AI21" s="272"/>
      <c r="AJ21" s="270"/>
      <c r="AK21" s="272"/>
    </row>
    <row r="22" spans="1:37" s="10" customFormat="1" ht="14.15" customHeight="1">
      <c r="A22" s="912" t="s">
        <v>711</v>
      </c>
      <c r="B22" s="339">
        <v>14</v>
      </c>
      <c r="C22" s="339" t="s">
        <v>712</v>
      </c>
      <c r="D22" s="231">
        <v>352570</v>
      </c>
      <c r="E22" s="231">
        <f t="shared" ref="E22:E32" si="24">I22+K22+M22+O22+Q22+S22</f>
        <v>65263</v>
      </c>
      <c r="F22" s="236">
        <f t="shared" ref="F22:F32" si="25">E22/$D22*100</f>
        <v>18.510650367302947</v>
      </c>
      <c r="G22" s="231">
        <f t="shared" ref="G22:G32" si="26">I22+M22+Q22+S22</f>
        <v>43400</v>
      </c>
      <c r="H22" s="236">
        <f t="shared" ref="H22:H32" si="27">G22/$D22*100</f>
        <v>12.309612275576482</v>
      </c>
      <c r="I22" s="231">
        <v>18406</v>
      </c>
      <c r="J22" s="236">
        <f t="shared" ref="J22:J32" si="28">I22/$D22*100</f>
        <v>5.2205235839691406</v>
      </c>
      <c r="K22" s="231">
        <v>21863</v>
      </c>
      <c r="L22" s="236">
        <f t="shared" ref="L22:L32" si="29">K22/$D22*100</f>
        <v>6.201038091726466</v>
      </c>
      <c r="M22" s="231">
        <v>781</v>
      </c>
      <c r="N22" s="236">
        <f t="shared" ref="N22:N32" si="30">M22/$D22*100</f>
        <v>0.22151629463652606</v>
      </c>
      <c r="O22" s="231">
        <v>0</v>
      </c>
      <c r="P22" s="236">
        <f t="shared" ref="P22:P32" si="31">O22/$D22*100</f>
        <v>0</v>
      </c>
      <c r="Q22" s="231">
        <v>23381</v>
      </c>
      <c r="R22" s="236">
        <f t="shared" ref="R22:R32" si="32">Q22/$D22*100</f>
        <v>6.6315908897523892</v>
      </c>
      <c r="S22" s="231">
        <v>832</v>
      </c>
      <c r="T22" s="379">
        <f t="shared" ref="T22:T32" si="33">S22/$D22*100</f>
        <v>0.23598150721842473</v>
      </c>
      <c r="U22" s="380">
        <v>24260</v>
      </c>
      <c r="V22" s="231">
        <f t="shared" ref="V22:V32" si="34">Z22+AB22+AD22+AF22+AH22+AJ22</f>
        <v>5547</v>
      </c>
      <c r="W22" s="236">
        <f t="shared" ref="W22:W32" si="35">V22/$U22*100</f>
        <v>22.86479802143446</v>
      </c>
      <c r="X22" s="231">
        <f t="shared" ref="X22:X32" si="36">Z22+AD22+AH22+AJ22</f>
        <v>4390</v>
      </c>
      <c r="Y22" s="236">
        <f t="shared" ref="Y22:Y32" si="37">X22/$U22*100</f>
        <v>18.095630667765867</v>
      </c>
      <c r="Z22" s="231">
        <v>4319</v>
      </c>
      <c r="AA22" s="236">
        <f t="shared" ref="AA22:AA32" si="38">Z22/$U22*100</f>
        <v>17.802967848309976</v>
      </c>
      <c r="AB22" s="231">
        <v>1157</v>
      </c>
      <c r="AC22" s="236">
        <f t="shared" ref="AC22:AC32" si="39">AB22/$U22*100</f>
        <v>4.7691673536685899</v>
      </c>
      <c r="AD22" s="231">
        <v>24</v>
      </c>
      <c r="AE22" s="236">
        <f t="shared" ref="AE22:AE32" si="40">AD22/$U22*100</f>
        <v>9.8928276999175613E-2</v>
      </c>
      <c r="AF22" s="231">
        <v>0</v>
      </c>
      <c r="AG22" s="236">
        <f t="shared" ref="AG22:AG32" si="41">AF22/$U22*100</f>
        <v>0</v>
      </c>
      <c r="AH22" s="231">
        <v>0</v>
      </c>
      <c r="AI22" s="236">
        <f t="shared" ref="AI22:AI32" si="42">AH22/$U22*100</f>
        <v>0</v>
      </c>
      <c r="AJ22" s="231">
        <v>47</v>
      </c>
      <c r="AK22" s="236">
        <f t="shared" ref="AK22:AK32" si="43">AJ22/$U22*100</f>
        <v>0.19373454245671887</v>
      </c>
    </row>
    <row r="23" spans="1:37" s="10" customFormat="1" ht="14.15" customHeight="1">
      <c r="A23" s="912"/>
      <c r="B23" s="340">
        <v>5</v>
      </c>
      <c r="C23" s="340" t="s">
        <v>714</v>
      </c>
      <c r="D23" s="239">
        <v>376969</v>
      </c>
      <c r="E23" s="239">
        <f t="shared" si="24"/>
        <v>83792</v>
      </c>
      <c r="F23" s="244">
        <f t="shared" si="25"/>
        <v>22.227822446938607</v>
      </c>
      <c r="G23" s="239">
        <f t="shared" si="26"/>
        <v>37438</v>
      </c>
      <c r="H23" s="244">
        <f t="shared" si="27"/>
        <v>9.9313206125702642</v>
      </c>
      <c r="I23" s="239">
        <v>12102</v>
      </c>
      <c r="J23" s="244">
        <f t="shared" si="28"/>
        <v>3.2103435561014306</v>
      </c>
      <c r="K23" s="239">
        <v>46354</v>
      </c>
      <c r="L23" s="244">
        <f t="shared" si="29"/>
        <v>12.296501834368344</v>
      </c>
      <c r="M23" s="239">
        <v>0</v>
      </c>
      <c r="N23" s="244">
        <f t="shared" si="30"/>
        <v>0</v>
      </c>
      <c r="O23" s="239">
        <v>0</v>
      </c>
      <c r="P23" s="244">
        <f t="shared" si="31"/>
        <v>0</v>
      </c>
      <c r="Q23" s="239">
        <v>25336</v>
      </c>
      <c r="R23" s="244">
        <f t="shared" si="32"/>
        <v>6.7209770564688336</v>
      </c>
      <c r="S23" s="239">
        <v>0</v>
      </c>
      <c r="T23" s="381">
        <f t="shared" si="33"/>
        <v>0</v>
      </c>
      <c r="U23" s="382">
        <v>31376</v>
      </c>
      <c r="V23" s="239">
        <f t="shared" si="34"/>
        <v>4423</v>
      </c>
      <c r="W23" s="244">
        <f t="shared" si="35"/>
        <v>14.096761856195819</v>
      </c>
      <c r="X23" s="239">
        <f t="shared" si="36"/>
        <v>3228</v>
      </c>
      <c r="Y23" s="244">
        <f t="shared" si="37"/>
        <v>10.288118306986231</v>
      </c>
      <c r="Z23" s="239">
        <v>767</v>
      </c>
      <c r="AA23" s="244">
        <f t="shared" si="38"/>
        <v>2.4445436002039775</v>
      </c>
      <c r="AB23" s="239">
        <v>1195</v>
      </c>
      <c r="AC23" s="244">
        <f t="shared" si="39"/>
        <v>3.8086435492095871</v>
      </c>
      <c r="AD23" s="239">
        <v>0</v>
      </c>
      <c r="AE23" s="244">
        <f t="shared" si="40"/>
        <v>0</v>
      </c>
      <c r="AF23" s="239">
        <v>0</v>
      </c>
      <c r="AG23" s="244">
        <f t="shared" si="41"/>
        <v>0</v>
      </c>
      <c r="AH23" s="239">
        <v>2461</v>
      </c>
      <c r="AI23" s="244">
        <f t="shared" si="42"/>
        <v>7.8435747067822543</v>
      </c>
      <c r="AJ23" s="239">
        <v>0</v>
      </c>
      <c r="AK23" s="244">
        <f t="shared" si="43"/>
        <v>0</v>
      </c>
    </row>
    <row r="24" spans="1:37" s="10" customFormat="1" ht="14.15" customHeight="1">
      <c r="A24" s="912"/>
      <c r="B24" s="340">
        <v>45</v>
      </c>
      <c r="C24" s="340" t="s">
        <v>716</v>
      </c>
      <c r="D24" s="239">
        <v>711981</v>
      </c>
      <c r="E24" s="239">
        <f t="shared" si="24"/>
        <v>191538</v>
      </c>
      <c r="F24" s="244">
        <f t="shared" si="25"/>
        <v>26.902122388097432</v>
      </c>
      <c r="G24" s="239">
        <f t="shared" si="26"/>
        <v>52112</v>
      </c>
      <c r="H24" s="244">
        <f t="shared" si="27"/>
        <v>7.3192964418994322</v>
      </c>
      <c r="I24" s="239">
        <v>43333</v>
      </c>
      <c r="J24" s="244">
        <f t="shared" si="28"/>
        <v>6.0862579198040399</v>
      </c>
      <c r="K24" s="239">
        <v>139426</v>
      </c>
      <c r="L24" s="244">
        <f t="shared" si="29"/>
        <v>19.582825946198</v>
      </c>
      <c r="M24" s="239">
        <v>2465</v>
      </c>
      <c r="N24" s="244">
        <f t="shared" si="30"/>
        <v>0.34621710410811524</v>
      </c>
      <c r="O24" s="239">
        <v>0</v>
      </c>
      <c r="P24" s="244">
        <f t="shared" si="31"/>
        <v>0</v>
      </c>
      <c r="Q24" s="239">
        <v>5987</v>
      </c>
      <c r="R24" s="244">
        <f t="shared" si="32"/>
        <v>0.84089322608328021</v>
      </c>
      <c r="S24" s="239">
        <v>327</v>
      </c>
      <c r="T24" s="381">
        <f t="shared" si="33"/>
        <v>4.5928191903997433E-2</v>
      </c>
      <c r="U24" s="382">
        <v>260086</v>
      </c>
      <c r="V24" s="239">
        <f t="shared" si="34"/>
        <v>96797</v>
      </c>
      <c r="W24" s="244">
        <f t="shared" si="35"/>
        <v>37.217305045254264</v>
      </c>
      <c r="X24" s="239">
        <f t="shared" si="36"/>
        <v>41640</v>
      </c>
      <c r="Y24" s="244">
        <f t="shared" si="37"/>
        <v>16.010088970571275</v>
      </c>
      <c r="Z24" s="239">
        <v>33450</v>
      </c>
      <c r="AA24" s="244">
        <f t="shared" si="38"/>
        <v>12.861130549126059</v>
      </c>
      <c r="AB24" s="239">
        <v>55157</v>
      </c>
      <c r="AC24" s="244">
        <f t="shared" si="39"/>
        <v>21.207216074682989</v>
      </c>
      <c r="AD24" s="239">
        <v>2465</v>
      </c>
      <c r="AE24" s="244">
        <f t="shared" si="40"/>
        <v>0.94776343209553759</v>
      </c>
      <c r="AF24" s="239">
        <v>0</v>
      </c>
      <c r="AG24" s="244">
        <f t="shared" si="41"/>
        <v>0</v>
      </c>
      <c r="AH24" s="239">
        <v>5398</v>
      </c>
      <c r="AI24" s="244">
        <f t="shared" si="42"/>
        <v>2.075467345416516</v>
      </c>
      <c r="AJ24" s="239">
        <v>327</v>
      </c>
      <c r="AK24" s="244">
        <f t="shared" si="43"/>
        <v>0.12572764393316058</v>
      </c>
    </row>
    <row r="25" spans="1:37" s="10" customFormat="1" ht="14.15" customHeight="1">
      <c r="A25" s="912"/>
      <c r="B25" s="340">
        <v>17</v>
      </c>
      <c r="C25" s="340" t="s">
        <v>717</v>
      </c>
      <c r="D25" s="239">
        <v>117199</v>
      </c>
      <c r="E25" s="239">
        <f t="shared" si="24"/>
        <v>19353</v>
      </c>
      <c r="F25" s="244">
        <f t="shared" si="25"/>
        <v>16.512939530200772</v>
      </c>
      <c r="G25" s="239">
        <f t="shared" si="26"/>
        <v>18227</v>
      </c>
      <c r="H25" s="244">
        <f t="shared" si="27"/>
        <v>15.552180479355627</v>
      </c>
      <c r="I25" s="239">
        <v>0</v>
      </c>
      <c r="J25" s="244">
        <f t="shared" si="28"/>
        <v>0</v>
      </c>
      <c r="K25" s="239">
        <v>211</v>
      </c>
      <c r="L25" s="244">
        <f t="shared" si="29"/>
        <v>0.18003566583332622</v>
      </c>
      <c r="M25" s="239">
        <v>1115</v>
      </c>
      <c r="N25" s="244">
        <f t="shared" si="30"/>
        <v>0.9513733052329798</v>
      </c>
      <c r="O25" s="239">
        <v>915</v>
      </c>
      <c r="P25" s="244">
        <f t="shared" si="31"/>
        <v>0.78072338501181748</v>
      </c>
      <c r="Q25" s="239">
        <v>17106</v>
      </c>
      <c r="R25" s="244">
        <f t="shared" si="32"/>
        <v>14.595687676516011</v>
      </c>
      <c r="S25" s="239">
        <v>6</v>
      </c>
      <c r="T25" s="381">
        <f t="shared" si="33"/>
        <v>5.1194976066348688E-3</v>
      </c>
      <c r="U25" s="382">
        <v>17562</v>
      </c>
      <c r="V25" s="239">
        <f t="shared" si="34"/>
        <v>4022</v>
      </c>
      <c r="W25" s="244">
        <f t="shared" si="35"/>
        <v>22.901719621910942</v>
      </c>
      <c r="X25" s="239">
        <f t="shared" si="36"/>
        <v>2896</v>
      </c>
      <c r="Y25" s="244">
        <f t="shared" si="37"/>
        <v>16.490149185741942</v>
      </c>
      <c r="Z25" s="239">
        <v>0</v>
      </c>
      <c r="AA25" s="244">
        <f t="shared" si="38"/>
        <v>0</v>
      </c>
      <c r="AB25" s="239">
        <v>211</v>
      </c>
      <c r="AC25" s="244">
        <f t="shared" si="39"/>
        <v>1.201457692745701</v>
      </c>
      <c r="AD25" s="239">
        <v>1115</v>
      </c>
      <c r="AE25" s="244">
        <f t="shared" si="40"/>
        <v>6.3489352010021634</v>
      </c>
      <c r="AF25" s="239">
        <v>915</v>
      </c>
      <c r="AG25" s="244">
        <f t="shared" si="41"/>
        <v>5.2101127434233003</v>
      </c>
      <c r="AH25" s="239">
        <v>1781</v>
      </c>
      <c r="AI25" s="244">
        <f t="shared" si="42"/>
        <v>10.141213984739778</v>
      </c>
      <c r="AJ25" s="239">
        <v>0</v>
      </c>
      <c r="AK25" s="244">
        <f t="shared" si="43"/>
        <v>0</v>
      </c>
    </row>
    <row r="26" spans="1:37" s="10" customFormat="1" ht="14.15" customHeight="1">
      <c r="A26" s="912"/>
      <c r="B26" s="340">
        <v>58</v>
      </c>
      <c r="C26" s="340" t="s">
        <v>719</v>
      </c>
      <c r="D26" s="239">
        <v>321223</v>
      </c>
      <c r="E26" s="239">
        <f t="shared" si="24"/>
        <v>83280</v>
      </c>
      <c r="F26" s="244">
        <f t="shared" si="25"/>
        <v>25.925914395918099</v>
      </c>
      <c r="G26" s="239">
        <f t="shared" si="26"/>
        <v>58543</v>
      </c>
      <c r="H26" s="244">
        <f t="shared" si="27"/>
        <v>18.225033699330375</v>
      </c>
      <c r="I26" s="239">
        <v>5790</v>
      </c>
      <c r="J26" s="244">
        <f t="shared" si="28"/>
        <v>1.8024861233473319</v>
      </c>
      <c r="K26" s="239">
        <v>24737</v>
      </c>
      <c r="L26" s="244">
        <f t="shared" si="29"/>
        <v>7.7008806965877294</v>
      </c>
      <c r="M26" s="239">
        <v>17338</v>
      </c>
      <c r="N26" s="244">
        <f t="shared" si="30"/>
        <v>5.3974964432808363</v>
      </c>
      <c r="O26" s="239">
        <v>0</v>
      </c>
      <c r="P26" s="244">
        <f t="shared" si="31"/>
        <v>0</v>
      </c>
      <c r="Q26" s="239">
        <v>35028</v>
      </c>
      <c r="R26" s="244">
        <f t="shared" si="32"/>
        <v>10.904574080934429</v>
      </c>
      <c r="S26" s="239">
        <v>387</v>
      </c>
      <c r="T26" s="381">
        <f t="shared" si="33"/>
        <v>0.12047705176777503</v>
      </c>
      <c r="U26" s="382">
        <v>56270</v>
      </c>
      <c r="V26" s="239">
        <f t="shared" si="34"/>
        <v>36847</v>
      </c>
      <c r="W26" s="244">
        <f t="shared" si="35"/>
        <v>65.482495112848767</v>
      </c>
      <c r="X26" s="239">
        <f t="shared" si="36"/>
        <v>17502</v>
      </c>
      <c r="Y26" s="244">
        <f t="shared" si="37"/>
        <v>31.103607606184468</v>
      </c>
      <c r="Z26" s="239">
        <v>4508</v>
      </c>
      <c r="AA26" s="244">
        <f t="shared" si="38"/>
        <v>8.0113737337835431</v>
      </c>
      <c r="AB26" s="239">
        <v>19345</v>
      </c>
      <c r="AC26" s="244">
        <f t="shared" si="39"/>
        <v>34.378887506664299</v>
      </c>
      <c r="AD26" s="239">
        <v>8914</v>
      </c>
      <c r="AE26" s="244">
        <f t="shared" si="40"/>
        <v>15.84147858539186</v>
      </c>
      <c r="AF26" s="239">
        <v>0</v>
      </c>
      <c r="AG26" s="244">
        <f t="shared" si="41"/>
        <v>0</v>
      </c>
      <c r="AH26" s="239">
        <v>3946</v>
      </c>
      <c r="AI26" s="244">
        <f t="shared" si="42"/>
        <v>7.0126177359161188</v>
      </c>
      <c r="AJ26" s="239">
        <v>134</v>
      </c>
      <c r="AK26" s="244">
        <f t="shared" si="43"/>
        <v>0.23813755109294474</v>
      </c>
    </row>
    <row r="27" spans="1:37" s="10" customFormat="1" ht="14.15" customHeight="1">
      <c r="A27" s="912"/>
      <c r="B27" s="340">
        <v>56</v>
      </c>
      <c r="C27" s="340" t="s">
        <v>720</v>
      </c>
      <c r="D27" s="239">
        <v>150834</v>
      </c>
      <c r="E27" s="239">
        <f t="shared" si="24"/>
        <v>16913</v>
      </c>
      <c r="F27" s="244">
        <f t="shared" si="25"/>
        <v>11.212989113860271</v>
      </c>
      <c r="G27" s="239">
        <f t="shared" si="26"/>
        <v>16913</v>
      </c>
      <c r="H27" s="244">
        <f t="shared" si="27"/>
        <v>11.212989113860271</v>
      </c>
      <c r="I27" s="239">
        <v>10662</v>
      </c>
      <c r="J27" s="244">
        <f t="shared" si="28"/>
        <v>7.0686980389036949</v>
      </c>
      <c r="K27" s="239">
        <v>0</v>
      </c>
      <c r="L27" s="244">
        <f t="shared" si="29"/>
        <v>0</v>
      </c>
      <c r="M27" s="239">
        <v>0</v>
      </c>
      <c r="N27" s="244">
        <f t="shared" si="30"/>
        <v>0</v>
      </c>
      <c r="O27" s="239">
        <v>0</v>
      </c>
      <c r="P27" s="244">
        <f t="shared" si="31"/>
        <v>0</v>
      </c>
      <c r="Q27" s="239">
        <v>6251</v>
      </c>
      <c r="R27" s="244">
        <f t="shared" si="32"/>
        <v>4.1442910749565751</v>
      </c>
      <c r="S27" s="239">
        <v>0</v>
      </c>
      <c r="T27" s="381">
        <f t="shared" si="33"/>
        <v>0</v>
      </c>
      <c r="U27" s="382">
        <v>4021</v>
      </c>
      <c r="V27" s="239">
        <f t="shared" si="34"/>
        <v>1244</v>
      </c>
      <c r="W27" s="244">
        <f t="shared" si="35"/>
        <v>30.937577716985825</v>
      </c>
      <c r="X27" s="239">
        <f t="shared" si="36"/>
        <v>1244</v>
      </c>
      <c r="Y27" s="244">
        <f t="shared" si="37"/>
        <v>30.937577716985825</v>
      </c>
      <c r="Z27" s="239">
        <v>1244</v>
      </c>
      <c r="AA27" s="244">
        <f t="shared" si="38"/>
        <v>30.937577716985825</v>
      </c>
      <c r="AB27" s="239">
        <v>0</v>
      </c>
      <c r="AC27" s="244">
        <f t="shared" si="39"/>
        <v>0</v>
      </c>
      <c r="AD27" s="239">
        <v>0</v>
      </c>
      <c r="AE27" s="244">
        <f t="shared" si="40"/>
        <v>0</v>
      </c>
      <c r="AF27" s="239">
        <v>0</v>
      </c>
      <c r="AG27" s="244">
        <f t="shared" si="41"/>
        <v>0</v>
      </c>
      <c r="AH27" s="239">
        <v>0</v>
      </c>
      <c r="AI27" s="244">
        <f t="shared" si="42"/>
        <v>0</v>
      </c>
      <c r="AJ27" s="239">
        <v>0</v>
      </c>
      <c r="AK27" s="244">
        <f t="shared" si="43"/>
        <v>0</v>
      </c>
    </row>
    <row r="28" spans="1:37" s="10" customFormat="1" ht="14.15" customHeight="1">
      <c r="A28" s="912"/>
      <c r="B28" s="340">
        <v>71</v>
      </c>
      <c r="C28" s="340" t="s">
        <v>721</v>
      </c>
      <c r="D28" s="239">
        <v>32959</v>
      </c>
      <c r="E28" s="239">
        <f t="shared" si="24"/>
        <v>10275</v>
      </c>
      <c r="F28" s="244">
        <f t="shared" si="25"/>
        <v>31.175096331806184</v>
      </c>
      <c r="G28" s="239">
        <f t="shared" si="26"/>
        <v>10275</v>
      </c>
      <c r="H28" s="244">
        <f t="shared" si="27"/>
        <v>31.175096331806184</v>
      </c>
      <c r="I28" s="239">
        <v>7572</v>
      </c>
      <c r="J28" s="244">
        <f t="shared" si="28"/>
        <v>22.973997997512061</v>
      </c>
      <c r="K28" s="239">
        <v>0</v>
      </c>
      <c r="L28" s="244">
        <f t="shared" si="29"/>
        <v>0</v>
      </c>
      <c r="M28" s="239">
        <v>0</v>
      </c>
      <c r="N28" s="244">
        <f t="shared" si="30"/>
        <v>0</v>
      </c>
      <c r="O28" s="239">
        <v>0</v>
      </c>
      <c r="P28" s="244">
        <f t="shared" si="31"/>
        <v>0</v>
      </c>
      <c r="Q28" s="239">
        <v>1078</v>
      </c>
      <c r="R28" s="244">
        <f t="shared" si="32"/>
        <v>3.2707303012834128</v>
      </c>
      <c r="S28" s="239">
        <v>1625</v>
      </c>
      <c r="T28" s="381">
        <f t="shared" si="33"/>
        <v>4.9303680330107102</v>
      </c>
      <c r="U28" s="382">
        <v>7238</v>
      </c>
      <c r="V28" s="239">
        <f t="shared" si="34"/>
        <v>5234</v>
      </c>
      <c r="W28" s="244">
        <f t="shared" si="35"/>
        <v>72.312793589389329</v>
      </c>
      <c r="X28" s="239">
        <f t="shared" si="36"/>
        <v>5234</v>
      </c>
      <c r="Y28" s="244">
        <f t="shared" si="37"/>
        <v>72.312793589389329</v>
      </c>
      <c r="Z28" s="239">
        <v>4156</v>
      </c>
      <c r="AA28" s="244">
        <f t="shared" si="38"/>
        <v>57.419176568112739</v>
      </c>
      <c r="AB28" s="239">
        <v>0</v>
      </c>
      <c r="AC28" s="244">
        <f t="shared" si="39"/>
        <v>0</v>
      </c>
      <c r="AD28" s="239">
        <v>0</v>
      </c>
      <c r="AE28" s="244">
        <f t="shared" si="40"/>
        <v>0</v>
      </c>
      <c r="AF28" s="239">
        <v>0</v>
      </c>
      <c r="AG28" s="244">
        <f t="shared" si="41"/>
        <v>0</v>
      </c>
      <c r="AH28" s="239">
        <v>1078</v>
      </c>
      <c r="AI28" s="244">
        <f t="shared" si="42"/>
        <v>14.893617021276595</v>
      </c>
      <c r="AJ28" s="239">
        <v>0</v>
      </c>
      <c r="AK28" s="244">
        <f t="shared" si="43"/>
        <v>0</v>
      </c>
    </row>
    <row r="29" spans="1:37" s="10" customFormat="1" ht="14.15" customHeight="1">
      <c r="A29" s="912"/>
      <c r="B29" s="340">
        <v>78</v>
      </c>
      <c r="C29" s="340" t="s">
        <v>722</v>
      </c>
      <c r="D29" s="239">
        <v>70222</v>
      </c>
      <c r="E29" s="239">
        <f t="shared" si="24"/>
        <v>0</v>
      </c>
      <c r="F29" s="244">
        <f t="shared" si="25"/>
        <v>0</v>
      </c>
      <c r="G29" s="239">
        <f t="shared" si="26"/>
        <v>0</v>
      </c>
      <c r="H29" s="244">
        <f t="shared" si="27"/>
        <v>0</v>
      </c>
      <c r="I29" s="239">
        <v>0</v>
      </c>
      <c r="J29" s="244">
        <f t="shared" si="28"/>
        <v>0</v>
      </c>
      <c r="K29" s="239">
        <v>0</v>
      </c>
      <c r="L29" s="244">
        <f t="shared" si="29"/>
        <v>0</v>
      </c>
      <c r="M29" s="239">
        <v>0</v>
      </c>
      <c r="N29" s="244">
        <f t="shared" si="30"/>
        <v>0</v>
      </c>
      <c r="O29" s="239">
        <v>0</v>
      </c>
      <c r="P29" s="244">
        <f t="shared" si="31"/>
        <v>0</v>
      </c>
      <c r="Q29" s="239">
        <v>0</v>
      </c>
      <c r="R29" s="244">
        <f t="shared" si="32"/>
        <v>0</v>
      </c>
      <c r="S29" s="239">
        <v>0</v>
      </c>
      <c r="T29" s="381">
        <f t="shared" si="33"/>
        <v>0</v>
      </c>
      <c r="U29" s="382">
        <v>57123</v>
      </c>
      <c r="V29" s="239">
        <f t="shared" si="34"/>
        <v>0</v>
      </c>
      <c r="W29" s="244">
        <f t="shared" si="35"/>
        <v>0</v>
      </c>
      <c r="X29" s="239">
        <f t="shared" si="36"/>
        <v>0</v>
      </c>
      <c r="Y29" s="244">
        <f t="shared" si="37"/>
        <v>0</v>
      </c>
      <c r="Z29" s="239">
        <v>0</v>
      </c>
      <c r="AA29" s="244">
        <f t="shared" si="38"/>
        <v>0</v>
      </c>
      <c r="AB29" s="239">
        <v>0</v>
      </c>
      <c r="AC29" s="244">
        <f t="shared" si="39"/>
        <v>0</v>
      </c>
      <c r="AD29" s="239">
        <v>0</v>
      </c>
      <c r="AE29" s="244">
        <f t="shared" si="40"/>
        <v>0</v>
      </c>
      <c r="AF29" s="239">
        <v>0</v>
      </c>
      <c r="AG29" s="244">
        <f t="shared" si="41"/>
        <v>0</v>
      </c>
      <c r="AH29" s="239">
        <v>0</v>
      </c>
      <c r="AI29" s="244">
        <f t="shared" si="42"/>
        <v>0</v>
      </c>
      <c r="AJ29" s="239">
        <v>0</v>
      </c>
      <c r="AK29" s="244">
        <f t="shared" si="43"/>
        <v>0</v>
      </c>
    </row>
    <row r="30" spans="1:37" s="10" customFormat="1" ht="14.15" customHeight="1">
      <c r="A30" s="912"/>
      <c r="B30" s="340">
        <v>79</v>
      </c>
      <c r="C30" s="340" t="s">
        <v>723</v>
      </c>
      <c r="D30" s="239">
        <v>51560</v>
      </c>
      <c r="E30" s="239">
        <f t="shared" si="24"/>
        <v>6048</v>
      </c>
      <c r="F30" s="244">
        <f t="shared" si="25"/>
        <v>11.730023273855702</v>
      </c>
      <c r="G30" s="239">
        <f t="shared" si="26"/>
        <v>6048</v>
      </c>
      <c r="H30" s="244">
        <f t="shared" si="27"/>
        <v>11.730023273855702</v>
      </c>
      <c r="I30" s="239">
        <v>0</v>
      </c>
      <c r="J30" s="244">
        <f t="shared" si="28"/>
        <v>0</v>
      </c>
      <c r="K30" s="239">
        <v>0</v>
      </c>
      <c r="L30" s="244">
        <f t="shared" si="29"/>
        <v>0</v>
      </c>
      <c r="M30" s="239">
        <v>0</v>
      </c>
      <c r="N30" s="244">
        <f t="shared" si="30"/>
        <v>0</v>
      </c>
      <c r="O30" s="239">
        <v>0</v>
      </c>
      <c r="P30" s="244">
        <f t="shared" si="31"/>
        <v>0</v>
      </c>
      <c r="Q30" s="239">
        <v>6048</v>
      </c>
      <c r="R30" s="244">
        <f t="shared" si="32"/>
        <v>11.730023273855702</v>
      </c>
      <c r="S30" s="239">
        <v>0</v>
      </c>
      <c r="T30" s="381">
        <f t="shared" si="33"/>
        <v>0</v>
      </c>
      <c r="U30" s="382">
        <v>9201</v>
      </c>
      <c r="V30" s="239">
        <f t="shared" si="34"/>
        <v>0</v>
      </c>
      <c r="W30" s="244">
        <f t="shared" si="35"/>
        <v>0</v>
      </c>
      <c r="X30" s="239">
        <f t="shared" si="36"/>
        <v>0</v>
      </c>
      <c r="Y30" s="244">
        <f t="shared" si="37"/>
        <v>0</v>
      </c>
      <c r="Z30" s="239">
        <v>0</v>
      </c>
      <c r="AA30" s="244">
        <f t="shared" si="38"/>
        <v>0</v>
      </c>
      <c r="AB30" s="239">
        <v>0</v>
      </c>
      <c r="AC30" s="244">
        <f t="shared" si="39"/>
        <v>0</v>
      </c>
      <c r="AD30" s="239">
        <v>0</v>
      </c>
      <c r="AE30" s="244">
        <f t="shared" si="40"/>
        <v>0</v>
      </c>
      <c r="AF30" s="239">
        <v>0</v>
      </c>
      <c r="AG30" s="244">
        <f t="shared" si="41"/>
        <v>0</v>
      </c>
      <c r="AH30" s="239">
        <v>0</v>
      </c>
      <c r="AI30" s="244">
        <f t="shared" si="42"/>
        <v>0</v>
      </c>
      <c r="AJ30" s="239">
        <v>0</v>
      </c>
      <c r="AK30" s="244">
        <f t="shared" si="43"/>
        <v>0</v>
      </c>
    </row>
    <row r="31" spans="1:37" s="10" customFormat="1" ht="14.15" customHeight="1">
      <c r="A31" s="912"/>
      <c r="B31" s="340">
        <v>80</v>
      </c>
      <c r="C31" s="340" t="s">
        <v>724</v>
      </c>
      <c r="D31" s="239">
        <v>46072</v>
      </c>
      <c r="E31" s="239">
        <f t="shared" si="24"/>
        <v>3028</v>
      </c>
      <c r="F31" s="244">
        <f t="shared" si="25"/>
        <v>6.5723215836082645</v>
      </c>
      <c r="G31" s="239">
        <f t="shared" si="26"/>
        <v>2732</v>
      </c>
      <c r="H31" s="244">
        <f t="shared" si="27"/>
        <v>5.9298489321062684</v>
      </c>
      <c r="I31" s="239">
        <v>0</v>
      </c>
      <c r="J31" s="244">
        <f t="shared" si="28"/>
        <v>0</v>
      </c>
      <c r="K31" s="239">
        <v>296</v>
      </c>
      <c r="L31" s="244">
        <f t="shared" si="29"/>
        <v>0.64247265150199684</v>
      </c>
      <c r="M31" s="239">
        <v>2732</v>
      </c>
      <c r="N31" s="244">
        <f t="shared" si="30"/>
        <v>5.9298489321062684</v>
      </c>
      <c r="O31" s="239">
        <v>0</v>
      </c>
      <c r="P31" s="244">
        <f t="shared" si="31"/>
        <v>0</v>
      </c>
      <c r="Q31" s="239">
        <v>0</v>
      </c>
      <c r="R31" s="244">
        <f t="shared" si="32"/>
        <v>0</v>
      </c>
      <c r="S31" s="239">
        <v>0</v>
      </c>
      <c r="T31" s="381">
        <f t="shared" si="33"/>
        <v>0</v>
      </c>
      <c r="U31" s="382">
        <v>5547</v>
      </c>
      <c r="V31" s="239">
        <f t="shared" si="34"/>
        <v>2818</v>
      </c>
      <c r="W31" s="244">
        <f t="shared" si="35"/>
        <v>50.802235442581576</v>
      </c>
      <c r="X31" s="239">
        <f t="shared" si="36"/>
        <v>2732</v>
      </c>
      <c r="Y31" s="244">
        <f t="shared" si="37"/>
        <v>49.251847845682349</v>
      </c>
      <c r="Z31" s="239">
        <v>0</v>
      </c>
      <c r="AA31" s="244">
        <f t="shared" si="38"/>
        <v>0</v>
      </c>
      <c r="AB31" s="239">
        <v>86</v>
      </c>
      <c r="AC31" s="244">
        <f t="shared" si="39"/>
        <v>1.5503875968992249</v>
      </c>
      <c r="AD31" s="239">
        <v>2732</v>
      </c>
      <c r="AE31" s="244">
        <f t="shared" si="40"/>
        <v>49.251847845682349</v>
      </c>
      <c r="AF31" s="239">
        <v>0</v>
      </c>
      <c r="AG31" s="244">
        <f t="shared" si="41"/>
        <v>0</v>
      </c>
      <c r="AH31" s="239">
        <v>0</v>
      </c>
      <c r="AI31" s="244">
        <f t="shared" si="42"/>
        <v>0</v>
      </c>
      <c r="AJ31" s="239">
        <v>0</v>
      </c>
      <c r="AK31" s="244">
        <f t="shared" si="43"/>
        <v>0</v>
      </c>
    </row>
    <row r="32" spans="1:37" s="10" customFormat="1" ht="14.15" customHeight="1" thickBot="1">
      <c r="A32" s="912"/>
      <c r="B32" s="342">
        <v>85</v>
      </c>
      <c r="C32" s="342" t="s">
        <v>725</v>
      </c>
      <c r="D32" s="247">
        <v>45486</v>
      </c>
      <c r="E32" s="247">
        <f t="shared" si="24"/>
        <v>7522</v>
      </c>
      <c r="F32" s="251">
        <f t="shared" si="25"/>
        <v>16.5369564261531</v>
      </c>
      <c r="G32" s="247">
        <f t="shared" si="26"/>
        <v>7522</v>
      </c>
      <c r="H32" s="251">
        <f t="shared" si="27"/>
        <v>16.5369564261531</v>
      </c>
      <c r="I32" s="247">
        <v>0</v>
      </c>
      <c r="J32" s="251">
        <f t="shared" si="28"/>
        <v>0</v>
      </c>
      <c r="K32" s="247">
        <v>0</v>
      </c>
      <c r="L32" s="251">
        <f t="shared" si="29"/>
        <v>0</v>
      </c>
      <c r="M32" s="247">
        <v>0</v>
      </c>
      <c r="N32" s="251">
        <f t="shared" si="30"/>
        <v>0</v>
      </c>
      <c r="O32" s="247">
        <v>0</v>
      </c>
      <c r="P32" s="251">
        <f t="shared" si="31"/>
        <v>0</v>
      </c>
      <c r="Q32" s="247">
        <v>7522</v>
      </c>
      <c r="R32" s="251">
        <f t="shared" si="32"/>
        <v>16.5369564261531</v>
      </c>
      <c r="S32" s="247">
        <v>0</v>
      </c>
      <c r="T32" s="383">
        <f t="shared" si="33"/>
        <v>0</v>
      </c>
      <c r="U32" s="384">
        <v>3029</v>
      </c>
      <c r="V32" s="247">
        <f t="shared" si="34"/>
        <v>0</v>
      </c>
      <c r="W32" s="251">
        <f t="shared" si="35"/>
        <v>0</v>
      </c>
      <c r="X32" s="247">
        <f t="shared" si="36"/>
        <v>0</v>
      </c>
      <c r="Y32" s="251">
        <f t="shared" si="37"/>
        <v>0</v>
      </c>
      <c r="Z32" s="247">
        <v>0</v>
      </c>
      <c r="AA32" s="251">
        <f t="shared" si="38"/>
        <v>0</v>
      </c>
      <c r="AB32" s="247">
        <v>0</v>
      </c>
      <c r="AC32" s="251">
        <f t="shared" si="39"/>
        <v>0</v>
      </c>
      <c r="AD32" s="247">
        <v>0</v>
      </c>
      <c r="AE32" s="251">
        <f t="shared" si="40"/>
        <v>0</v>
      </c>
      <c r="AF32" s="247">
        <v>0</v>
      </c>
      <c r="AG32" s="251">
        <f t="shared" si="41"/>
        <v>0</v>
      </c>
      <c r="AH32" s="247">
        <v>0</v>
      </c>
      <c r="AI32" s="251">
        <f t="shared" si="42"/>
        <v>0</v>
      </c>
      <c r="AJ32" s="247">
        <v>0</v>
      </c>
      <c r="AK32" s="251">
        <f t="shared" si="43"/>
        <v>0</v>
      </c>
    </row>
    <row r="33" spans="1:37" s="343" customFormat="1" ht="14.15" customHeight="1" thickTop="1">
      <c r="A33" s="912"/>
      <c r="B33" s="252"/>
      <c r="C33" s="385" t="s">
        <v>34</v>
      </c>
      <c r="D33" s="259">
        <f>SUM(D22:D32)</f>
        <v>2277075</v>
      </c>
      <c r="E33" s="259">
        <f>SUM(E22:E32)</f>
        <v>487012</v>
      </c>
      <c r="F33" s="261">
        <f>+ROUND(E33/$D33*100,1)</f>
        <v>21.4</v>
      </c>
      <c r="G33" s="259">
        <f>SUM(G22:G32)</f>
        <v>253210</v>
      </c>
      <c r="H33" s="261">
        <f>+ROUND(G33/$D33*100,1)</f>
        <v>11.1</v>
      </c>
      <c r="I33" s="259">
        <f>SUM(I22:I32)</f>
        <v>97865</v>
      </c>
      <c r="J33" s="261">
        <f>+ROUND(I33/$D33*100,1)</f>
        <v>4.3</v>
      </c>
      <c r="K33" s="259">
        <f>SUM(K22:K32)</f>
        <v>232887</v>
      </c>
      <c r="L33" s="261">
        <f>+ROUND(K33/$D33*100,1)</f>
        <v>10.199999999999999</v>
      </c>
      <c r="M33" s="259">
        <f>SUM(M22:M32)</f>
        <v>24431</v>
      </c>
      <c r="N33" s="261">
        <f>+ROUND(M33/$D33*100,1)</f>
        <v>1.1000000000000001</v>
      </c>
      <c r="O33" s="259">
        <f>SUM(O22:O32)</f>
        <v>915</v>
      </c>
      <c r="P33" s="261">
        <f>+ROUND(O33/$D33*100,1)</f>
        <v>0</v>
      </c>
      <c r="Q33" s="259">
        <f>SUM(Q22:Q32)</f>
        <v>127737</v>
      </c>
      <c r="R33" s="261">
        <f>+ROUND(Q33/$D33*100,1)</f>
        <v>5.6</v>
      </c>
      <c r="S33" s="259">
        <f>SUM(S22:S32)</f>
        <v>3177</v>
      </c>
      <c r="T33" s="386">
        <f>+ROUND(S33/$D33*100,1)</f>
        <v>0.1</v>
      </c>
      <c r="U33" s="259">
        <f>SUM(U22:U32)</f>
        <v>475713</v>
      </c>
      <c r="V33" s="259">
        <f>SUM(V22:V32)</f>
        <v>156932</v>
      </c>
      <c r="W33" s="261">
        <f>+ROUND(V33/$U33*100,1)</f>
        <v>33</v>
      </c>
      <c r="X33" s="259">
        <f>+SUM(X22:X32)</f>
        <v>78866</v>
      </c>
      <c r="Y33" s="261">
        <f>+ROUND(X33/$U33*100,1)</f>
        <v>16.600000000000001</v>
      </c>
      <c r="Z33" s="259">
        <f>SUM(Z22:Z32)</f>
        <v>48444</v>
      </c>
      <c r="AA33" s="261">
        <f>+ROUND(Z33/$U33*100,1)</f>
        <v>10.199999999999999</v>
      </c>
      <c r="AB33" s="259">
        <f>SUM(AB22:AB32)</f>
        <v>77151</v>
      </c>
      <c r="AC33" s="261">
        <f>+ROUND(AB33/$U33*100,1)</f>
        <v>16.2</v>
      </c>
      <c r="AD33" s="259">
        <f>SUM(AD22:AD32)</f>
        <v>15250</v>
      </c>
      <c r="AE33" s="261">
        <f>+ROUND(AD33/$U33*100,1)</f>
        <v>3.2</v>
      </c>
      <c r="AF33" s="259">
        <f>SUM(AF22:AF32)</f>
        <v>915</v>
      </c>
      <c r="AG33" s="261">
        <f>+ROUND(AF33/$U33*100,1)</f>
        <v>0.2</v>
      </c>
      <c r="AH33" s="259">
        <f>SUM(AH22:AH32)</f>
        <v>14664</v>
      </c>
      <c r="AI33" s="261">
        <f>+ROUND(AH33/$U33*100,1)</f>
        <v>3.1</v>
      </c>
      <c r="AJ33" s="259">
        <f>SUM(AJ22:AJ32)</f>
        <v>508</v>
      </c>
      <c r="AK33" s="261">
        <f>+ROUND(AJ33/$U33*100,1)</f>
        <v>0.1</v>
      </c>
    </row>
    <row r="34" spans="1:37" s="343" customFormat="1" ht="14.15" customHeight="1">
      <c r="A34" s="912"/>
      <c r="B34" s="263"/>
      <c r="C34" s="357"/>
      <c r="D34" s="270"/>
      <c r="E34" s="270"/>
      <c r="F34" s="272"/>
      <c r="G34" s="270"/>
      <c r="H34" s="272"/>
      <c r="I34" s="270"/>
      <c r="J34" s="272"/>
      <c r="K34" s="270"/>
      <c r="L34" s="272"/>
      <c r="M34" s="270"/>
      <c r="N34" s="272"/>
      <c r="O34" s="270"/>
      <c r="P34" s="272"/>
      <c r="Q34" s="270"/>
      <c r="R34" s="272"/>
      <c r="S34" s="270"/>
      <c r="T34" s="387"/>
      <c r="U34" s="388"/>
      <c r="V34" s="270"/>
      <c r="W34" s="272"/>
      <c r="X34" s="270"/>
      <c r="Y34" s="272"/>
      <c r="Z34" s="270"/>
      <c r="AA34" s="272"/>
      <c r="AB34" s="270"/>
      <c r="AC34" s="272"/>
      <c r="AD34" s="270"/>
      <c r="AE34" s="272"/>
      <c r="AF34" s="270"/>
      <c r="AG34" s="272"/>
      <c r="AH34" s="270"/>
      <c r="AI34" s="272"/>
      <c r="AJ34" s="270"/>
      <c r="AK34" s="272"/>
    </row>
    <row r="35" spans="1:37" s="10" customFormat="1" ht="14.15" customHeight="1">
      <c r="A35" s="912" t="s">
        <v>512</v>
      </c>
      <c r="B35" s="339">
        <v>35</v>
      </c>
      <c r="C35" s="339" t="s">
        <v>726</v>
      </c>
      <c r="D35" s="231">
        <v>619879</v>
      </c>
      <c r="E35" s="306">
        <f t="shared" ref="E35:E42" si="44">I35+K35+M35+O35+Q35+S35</f>
        <v>239380</v>
      </c>
      <c r="F35" s="236">
        <f t="shared" ref="F35:F42" si="45">E35/$D35*100</f>
        <v>38.617214004668654</v>
      </c>
      <c r="G35" s="231">
        <f t="shared" ref="G35:G42" si="46">I35+M35+Q35+S35</f>
        <v>56142</v>
      </c>
      <c r="H35" s="236">
        <f t="shared" ref="H35:H42" si="47">G35/$D35*100</f>
        <v>9.0569288522437432</v>
      </c>
      <c r="I35" s="231">
        <v>22579</v>
      </c>
      <c r="J35" s="236">
        <f t="shared" ref="J35:J42" si="48">I35/$D35*100</f>
        <v>3.6424850656337773</v>
      </c>
      <c r="K35" s="231">
        <v>183238</v>
      </c>
      <c r="L35" s="236">
        <f t="shared" ref="L35:L42" si="49">K35/$D35*100</f>
        <v>29.56028515242491</v>
      </c>
      <c r="M35" s="231">
        <v>0</v>
      </c>
      <c r="N35" s="236">
        <f t="shared" ref="N35:N42" si="50">M35/$D35*100</f>
        <v>0</v>
      </c>
      <c r="O35" s="231">
        <v>0</v>
      </c>
      <c r="P35" s="236">
        <f t="shared" ref="P35:P42" si="51">O35/$D35*100</f>
        <v>0</v>
      </c>
      <c r="Q35" s="231">
        <v>33563</v>
      </c>
      <c r="R35" s="236">
        <f t="shared" ref="R35:R42" si="52">Q35/$D35*100</f>
        <v>5.4144437866099677</v>
      </c>
      <c r="S35" s="231">
        <v>0</v>
      </c>
      <c r="T35" s="379">
        <f t="shared" ref="T35:T42" si="53">S35/$D35*100</f>
        <v>0</v>
      </c>
      <c r="U35" s="380">
        <v>67321</v>
      </c>
      <c r="V35" s="231">
        <f t="shared" ref="V35:V42" si="54">Z35+AB35+AD35+AF35+AH35+AJ35</f>
        <v>41372</v>
      </c>
      <c r="W35" s="236">
        <f t="shared" ref="W35:W42" si="55">V35/$U35*100</f>
        <v>61.454820932547051</v>
      </c>
      <c r="X35" s="231">
        <f t="shared" ref="X35:X42" si="56">Z35+AD35+AH35+AJ35</f>
        <v>8470</v>
      </c>
      <c r="Y35" s="236">
        <f t="shared" ref="Y35:Y42" si="57">X35/$U35*100</f>
        <v>12.581512455251703</v>
      </c>
      <c r="Z35" s="231">
        <v>6308</v>
      </c>
      <c r="AA35" s="236">
        <f t="shared" ref="AA35:AA42" si="58">Z35/$U35*100</f>
        <v>9.3700331248793098</v>
      </c>
      <c r="AB35" s="231">
        <v>32902</v>
      </c>
      <c r="AC35" s="236">
        <f t="shared" ref="AC35:AC42" si="59">AB35/$U35*100</f>
        <v>48.873308477295346</v>
      </c>
      <c r="AD35" s="231">
        <v>0</v>
      </c>
      <c r="AE35" s="236">
        <f t="shared" ref="AE35:AE42" si="60">AD35/$U35*100</f>
        <v>0</v>
      </c>
      <c r="AF35" s="231">
        <v>0</v>
      </c>
      <c r="AG35" s="236">
        <f t="shared" ref="AG35:AG42" si="61">AF35/$U35*100</f>
        <v>0</v>
      </c>
      <c r="AH35" s="231">
        <v>2162</v>
      </c>
      <c r="AI35" s="236">
        <f t="shared" ref="AI35:AI42" si="62">AH35/$U35*100</f>
        <v>3.211479330372395</v>
      </c>
      <c r="AJ35" s="231">
        <v>0</v>
      </c>
      <c r="AK35" s="236">
        <f t="shared" ref="AK35:AK42" si="63">AJ35/$U35*100</f>
        <v>0</v>
      </c>
    </row>
    <row r="36" spans="1:37" s="10" customFormat="1" ht="14.15" customHeight="1">
      <c r="A36" s="912"/>
      <c r="B36" s="340">
        <v>29</v>
      </c>
      <c r="C36" s="340" t="s">
        <v>727</v>
      </c>
      <c r="D36" s="239">
        <v>362507</v>
      </c>
      <c r="E36" s="239">
        <f t="shared" si="44"/>
        <v>102002</v>
      </c>
      <c r="F36" s="244">
        <f t="shared" si="45"/>
        <v>28.137939405308039</v>
      </c>
      <c r="G36" s="239">
        <f t="shared" si="46"/>
        <v>76494</v>
      </c>
      <c r="H36" s="244">
        <f t="shared" si="47"/>
        <v>21.10138562841545</v>
      </c>
      <c r="I36" s="239">
        <v>22692</v>
      </c>
      <c r="J36" s="244">
        <f t="shared" si="48"/>
        <v>6.2597411912045837</v>
      </c>
      <c r="K36" s="239">
        <v>25508</v>
      </c>
      <c r="L36" s="244">
        <f t="shared" si="49"/>
        <v>7.0365537768925845</v>
      </c>
      <c r="M36" s="239">
        <v>112</v>
      </c>
      <c r="N36" s="244">
        <f t="shared" si="50"/>
        <v>3.0895955112590925E-2</v>
      </c>
      <c r="O36" s="239">
        <v>0</v>
      </c>
      <c r="P36" s="244">
        <f t="shared" si="51"/>
        <v>0</v>
      </c>
      <c r="Q36" s="239">
        <v>52459</v>
      </c>
      <c r="R36" s="244">
        <f t="shared" si="52"/>
        <v>14.471168832601853</v>
      </c>
      <c r="S36" s="239">
        <v>1231</v>
      </c>
      <c r="T36" s="381">
        <f t="shared" si="53"/>
        <v>0.33957964949642355</v>
      </c>
      <c r="U36" s="382">
        <v>23769</v>
      </c>
      <c r="V36" s="239">
        <f t="shared" si="54"/>
        <v>11036</v>
      </c>
      <c r="W36" s="244">
        <f t="shared" si="55"/>
        <v>46.430224241659303</v>
      </c>
      <c r="X36" s="239">
        <f t="shared" si="56"/>
        <v>6811</v>
      </c>
      <c r="Y36" s="244">
        <f t="shared" si="57"/>
        <v>28.654970760233915</v>
      </c>
      <c r="Z36" s="239">
        <v>4894</v>
      </c>
      <c r="AA36" s="244">
        <f t="shared" si="58"/>
        <v>20.589843914342211</v>
      </c>
      <c r="AB36" s="239">
        <v>4225</v>
      </c>
      <c r="AC36" s="244">
        <f t="shared" si="59"/>
        <v>17.775253481425384</v>
      </c>
      <c r="AD36" s="239">
        <v>0</v>
      </c>
      <c r="AE36" s="244">
        <f t="shared" si="60"/>
        <v>0</v>
      </c>
      <c r="AF36" s="239">
        <v>0</v>
      </c>
      <c r="AG36" s="244">
        <f t="shared" si="61"/>
        <v>0</v>
      </c>
      <c r="AH36" s="239">
        <v>1506</v>
      </c>
      <c r="AI36" s="244">
        <f t="shared" si="62"/>
        <v>6.3359838445033443</v>
      </c>
      <c r="AJ36" s="239">
        <v>411</v>
      </c>
      <c r="AK36" s="244">
        <f t="shared" si="63"/>
        <v>1.7291430013883631</v>
      </c>
    </row>
    <row r="37" spans="1:37" s="10" customFormat="1" ht="14.15" customHeight="1">
      <c r="A37" s="912"/>
      <c r="B37" s="340">
        <v>25</v>
      </c>
      <c r="C37" s="340" t="s">
        <v>728</v>
      </c>
      <c r="D37" s="239">
        <v>205001</v>
      </c>
      <c r="E37" s="239">
        <f t="shared" si="44"/>
        <v>47966</v>
      </c>
      <c r="F37" s="244">
        <f t="shared" si="45"/>
        <v>23.397934644221248</v>
      </c>
      <c r="G37" s="239">
        <f t="shared" si="46"/>
        <v>16793</v>
      </c>
      <c r="H37" s="244">
        <f t="shared" si="47"/>
        <v>8.1916673577202062</v>
      </c>
      <c r="I37" s="239">
        <v>1967</v>
      </c>
      <c r="J37" s="244">
        <f t="shared" si="48"/>
        <v>0.95950751459748973</v>
      </c>
      <c r="K37" s="239">
        <v>31173</v>
      </c>
      <c r="L37" s="244">
        <f t="shared" si="49"/>
        <v>15.20626728650104</v>
      </c>
      <c r="M37" s="239">
        <v>0</v>
      </c>
      <c r="N37" s="244">
        <f t="shared" si="50"/>
        <v>0</v>
      </c>
      <c r="O37" s="239">
        <v>0</v>
      </c>
      <c r="P37" s="244">
        <f t="shared" si="51"/>
        <v>0</v>
      </c>
      <c r="Q37" s="239">
        <v>14808</v>
      </c>
      <c r="R37" s="244">
        <f t="shared" si="52"/>
        <v>7.2233793981492767</v>
      </c>
      <c r="S37" s="239">
        <v>18</v>
      </c>
      <c r="T37" s="381">
        <f t="shared" si="53"/>
        <v>8.780444973439154E-3</v>
      </c>
      <c r="U37" s="382">
        <v>14264</v>
      </c>
      <c r="V37" s="239">
        <f t="shared" si="54"/>
        <v>4468</v>
      </c>
      <c r="W37" s="244">
        <f t="shared" si="55"/>
        <v>31.323611890072911</v>
      </c>
      <c r="X37" s="239">
        <f t="shared" si="56"/>
        <v>2855</v>
      </c>
      <c r="Y37" s="244">
        <f t="shared" si="57"/>
        <v>20.015423443634326</v>
      </c>
      <c r="Z37" s="239">
        <v>120</v>
      </c>
      <c r="AA37" s="244">
        <f t="shared" si="58"/>
        <v>0.84127874369040945</v>
      </c>
      <c r="AB37" s="239">
        <v>1613</v>
      </c>
      <c r="AC37" s="244">
        <f t="shared" si="59"/>
        <v>11.308188446438587</v>
      </c>
      <c r="AD37" s="239">
        <v>0</v>
      </c>
      <c r="AE37" s="244">
        <f t="shared" si="60"/>
        <v>0</v>
      </c>
      <c r="AF37" s="239">
        <v>0</v>
      </c>
      <c r="AG37" s="244">
        <f t="shared" si="61"/>
        <v>0</v>
      </c>
      <c r="AH37" s="239">
        <v>2717</v>
      </c>
      <c r="AI37" s="244">
        <f t="shared" si="62"/>
        <v>19.047952888390355</v>
      </c>
      <c r="AJ37" s="239">
        <v>18</v>
      </c>
      <c r="AK37" s="244">
        <f t="shared" si="63"/>
        <v>0.12619181155356141</v>
      </c>
    </row>
    <row r="38" spans="1:37" s="10" customFormat="1" ht="14.15" customHeight="1">
      <c r="A38" s="912"/>
      <c r="B38" s="340">
        <v>59</v>
      </c>
      <c r="C38" s="340" t="s">
        <v>730</v>
      </c>
      <c r="D38" s="239">
        <v>229621</v>
      </c>
      <c r="E38" s="239">
        <f t="shared" si="44"/>
        <v>38936</v>
      </c>
      <c r="F38" s="244">
        <f t="shared" si="45"/>
        <v>16.956637241367297</v>
      </c>
      <c r="G38" s="239">
        <f t="shared" si="46"/>
        <v>34458</v>
      </c>
      <c r="H38" s="244">
        <f t="shared" si="47"/>
        <v>15.006467178524613</v>
      </c>
      <c r="I38" s="239">
        <v>2209</v>
      </c>
      <c r="J38" s="244">
        <f t="shared" si="48"/>
        <v>0.96202002430091327</v>
      </c>
      <c r="K38" s="239">
        <v>2962</v>
      </c>
      <c r="L38" s="244">
        <f t="shared" si="49"/>
        <v>1.289951703023678</v>
      </c>
      <c r="M38" s="239">
        <v>0</v>
      </c>
      <c r="N38" s="244">
        <f t="shared" si="50"/>
        <v>0</v>
      </c>
      <c r="O38" s="239">
        <v>1516</v>
      </c>
      <c r="P38" s="244">
        <f t="shared" si="51"/>
        <v>0.66021835981900612</v>
      </c>
      <c r="Q38" s="239">
        <v>32249</v>
      </c>
      <c r="R38" s="244">
        <f t="shared" si="52"/>
        <v>14.044447154223699</v>
      </c>
      <c r="S38" s="239">
        <v>0</v>
      </c>
      <c r="T38" s="381">
        <f t="shared" si="53"/>
        <v>0</v>
      </c>
      <c r="U38" s="382">
        <v>23755</v>
      </c>
      <c r="V38" s="239">
        <f t="shared" si="54"/>
        <v>10867</v>
      </c>
      <c r="W38" s="244">
        <f t="shared" si="55"/>
        <v>45.746158703430858</v>
      </c>
      <c r="X38" s="239">
        <f t="shared" si="56"/>
        <v>7569</v>
      </c>
      <c r="Y38" s="244">
        <f t="shared" si="57"/>
        <v>31.862765733529784</v>
      </c>
      <c r="Z38" s="239">
        <v>1865</v>
      </c>
      <c r="AA38" s="244">
        <f t="shared" si="58"/>
        <v>7.8509787413176175</v>
      </c>
      <c r="AB38" s="239">
        <v>2962</v>
      </c>
      <c r="AC38" s="244">
        <f t="shared" si="59"/>
        <v>12.46895390444117</v>
      </c>
      <c r="AD38" s="239">
        <v>0</v>
      </c>
      <c r="AE38" s="244">
        <f t="shared" si="60"/>
        <v>0</v>
      </c>
      <c r="AF38" s="239">
        <v>336</v>
      </c>
      <c r="AG38" s="244">
        <f t="shared" si="61"/>
        <v>1.4144390654599031</v>
      </c>
      <c r="AH38" s="239">
        <v>5704</v>
      </c>
      <c r="AI38" s="244">
        <f t="shared" si="62"/>
        <v>24.011786992212166</v>
      </c>
      <c r="AJ38" s="239">
        <v>0</v>
      </c>
      <c r="AK38" s="244">
        <f t="shared" si="63"/>
        <v>0</v>
      </c>
    </row>
    <row r="39" spans="1:37" s="10" customFormat="1" ht="14.15" customHeight="1">
      <c r="A39" s="912"/>
      <c r="B39" s="340">
        <v>66</v>
      </c>
      <c r="C39" s="340" t="s">
        <v>732</v>
      </c>
      <c r="D39" s="239">
        <v>145661</v>
      </c>
      <c r="E39" s="239">
        <f t="shared" si="44"/>
        <v>116524</v>
      </c>
      <c r="F39" s="244">
        <f t="shared" si="45"/>
        <v>79.996704677298652</v>
      </c>
      <c r="G39" s="239">
        <f t="shared" si="46"/>
        <v>89018</v>
      </c>
      <c r="H39" s="244">
        <f t="shared" si="47"/>
        <v>61.113132547490402</v>
      </c>
      <c r="I39" s="239">
        <v>423</v>
      </c>
      <c r="J39" s="244">
        <f t="shared" si="48"/>
        <v>0.29040031305565667</v>
      </c>
      <c r="K39" s="239">
        <v>27506</v>
      </c>
      <c r="L39" s="244">
        <f t="shared" si="49"/>
        <v>18.883572129808254</v>
      </c>
      <c r="M39" s="239">
        <v>0</v>
      </c>
      <c r="N39" s="244">
        <f t="shared" si="50"/>
        <v>0</v>
      </c>
      <c r="O39" s="239">
        <v>0</v>
      </c>
      <c r="P39" s="244">
        <f t="shared" si="51"/>
        <v>0</v>
      </c>
      <c r="Q39" s="239">
        <v>88595</v>
      </c>
      <c r="R39" s="244">
        <f t="shared" si="52"/>
        <v>60.822732234434753</v>
      </c>
      <c r="S39" s="239">
        <v>0</v>
      </c>
      <c r="T39" s="381">
        <f t="shared" si="53"/>
        <v>0</v>
      </c>
      <c r="U39" s="382">
        <v>19834</v>
      </c>
      <c r="V39" s="239">
        <f t="shared" si="54"/>
        <v>18436</v>
      </c>
      <c r="W39" s="244">
        <f t="shared" si="55"/>
        <v>92.951497428657859</v>
      </c>
      <c r="X39" s="239">
        <f t="shared" si="56"/>
        <v>9925</v>
      </c>
      <c r="Y39" s="244">
        <f t="shared" si="57"/>
        <v>50.040334778662896</v>
      </c>
      <c r="Z39" s="239">
        <v>423</v>
      </c>
      <c r="AA39" s="244">
        <f t="shared" si="58"/>
        <v>2.1327014218009479</v>
      </c>
      <c r="AB39" s="239">
        <v>8511</v>
      </c>
      <c r="AC39" s="244">
        <f t="shared" si="59"/>
        <v>42.911162649994964</v>
      </c>
      <c r="AD39" s="239">
        <v>0</v>
      </c>
      <c r="AE39" s="244">
        <f t="shared" si="60"/>
        <v>0</v>
      </c>
      <c r="AF39" s="239">
        <v>0</v>
      </c>
      <c r="AG39" s="244">
        <f t="shared" si="61"/>
        <v>0</v>
      </c>
      <c r="AH39" s="239">
        <v>9502</v>
      </c>
      <c r="AI39" s="244">
        <f t="shared" si="62"/>
        <v>47.907633356861957</v>
      </c>
      <c r="AJ39" s="239">
        <v>0</v>
      </c>
      <c r="AK39" s="244">
        <f t="shared" si="63"/>
        <v>0</v>
      </c>
    </row>
    <row r="40" spans="1:37" s="10" customFormat="1" ht="14.15" customHeight="1">
      <c r="A40" s="912"/>
      <c r="B40" s="340">
        <v>64</v>
      </c>
      <c r="C40" s="340" t="s">
        <v>734</v>
      </c>
      <c r="D40" s="239">
        <v>113130</v>
      </c>
      <c r="E40" s="239">
        <f t="shared" si="44"/>
        <v>1474</v>
      </c>
      <c r="F40" s="244">
        <f t="shared" si="45"/>
        <v>1.3029258375320427</v>
      </c>
      <c r="G40" s="239">
        <f t="shared" si="46"/>
        <v>1474</v>
      </c>
      <c r="H40" s="244">
        <f t="shared" si="47"/>
        <v>1.3029258375320427</v>
      </c>
      <c r="I40" s="239">
        <v>0</v>
      </c>
      <c r="J40" s="244">
        <f t="shared" si="48"/>
        <v>0</v>
      </c>
      <c r="K40" s="239">
        <v>0</v>
      </c>
      <c r="L40" s="244">
        <f t="shared" si="49"/>
        <v>0</v>
      </c>
      <c r="M40" s="239">
        <v>0</v>
      </c>
      <c r="N40" s="244">
        <f t="shared" si="50"/>
        <v>0</v>
      </c>
      <c r="O40" s="239">
        <v>0</v>
      </c>
      <c r="P40" s="244">
        <f t="shared" si="51"/>
        <v>0</v>
      </c>
      <c r="Q40" s="239">
        <v>1474</v>
      </c>
      <c r="R40" s="244">
        <f t="shared" si="52"/>
        <v>1.3029258375320427</v>
      </c>
      <c r="S40" s="239">
        <v>0</v>
      </c>
      <c r="T40" s="381">
        <f t="shared" si="53"/>
        <v>0</v>
      </c>
      <c r="U40" s="382">
        <v>6975</v>
      </c>
      <c r="V40" s="239">
        <f t="shared" si="54"/>
        <v>0</v>
      </c>
      <c r="W40" s="244">
        <f t="shared" si="55"/>
        <v>0</v>
      </c>
      <c r="X40" s="239">
        <f t="shared" si="56"/>
        <v>0</v>
      </c>
      <c r="Y40" s="244">
        <f t="shared" si="57"/>
        <v>0</v>
      </c>
      <c r="Z40" s="239">
        <v>0</v>
      </c>
      <c r="AA40" s="244">
        <f t="shared" si="58"/>
        <v>0</v>
      </c>
      <c r="AB40" s="239">
        <v>0</v>
      </c>
      <c r="AC40" s="244">
        <f t="shared" si="59"/>
        <v>0</v>
      </c>
      <c r="AD40" s="239">
        <v>0</v>
      </c>
      <c r="AE40" s="244">
        <f t="shared" si="60"/>
        <v>0</v>
      </c>
      <c r="AF40" s="239">
        <v>0</v>
      </c>
      <c r="AG40" s="244">
        <f t="shared" si="61"/>
        <v>0</v>
      </c>
      <c r="AH40" s="239">
        <v>0</v>
      </c>
      <c r="AI40" s="244">
        <f t="shared" si="62"/>
        <v>0</v>
      </c>
      <c r="AJ40" s="239">
        <v>0</v>
      </c>
      <c r="AK40" s="244">
        <f t="shared" si="63"/>
        <v>0</v>
      </c>
    </row>
    <row r="41" spans="1:37" s="10" customFormat="1" ht="14.15" customHeight="1">
      <c r="A41" s="912"/>
      <c r="B41" s="340">
        <v>88</v>
      </c>
      <c r="C41" s="340" t="s">
        <v>735</v>
      </c>
      <c r="D41" s="239">
        <v>89884</v>
      </c>
      <c r="E41" s="239">
        <f t="shared" si="44"/>
        <v>23117</v>
      </c>
      <c r="F41" s="244">
        <f t="shared" si="45"/>
        <v>25.718704107516356</v>
      </c>
      <c r="G41" s="239">
        <f t="shared" si="46"/>
        <v>23117</v>
      </c>
      <c r="H41" s="244">
        <f t="shared" si="47"/>
        <v>25.718704107516356</v>
      </c>
      <c r="I41" s="239">
        <v>0</v>
      </c>
      <c r="J41" s="244">
        <f t="shared" si="48"/>
        <v>0</v>
      </c>
      <c r="K41" s="239">
        <v>0</v>
      </c>
      <c r="L41" s="244">
        <f t="shared" si="49"/>
        <v>0</v>
      </c>
      <c r="M41" s="239">
        <v>0</v>
      </c>
      <c r="N41" s="244">
        <f t="shared" si="50"/>
        <v>0</v>
      </c>
      <c r="O41" s="239">
        <v>0</v>
      </c>
      <c r="P41" s="244">
        <f t="shared" si="51"/>
        <v>0</v>
      </c>
      <c r="Q41" s="239">
        <v>23117</v>
      </c>
      <c r="R41" s="244">
        <f t="shared" si="52"/>
        <v>25.718704107516356</v>
      </c>
      <c r="S41" s="239">
        <v>0</v>
      </c>
      <c r="T41" s="381">
        <f t="shared" si="53"/>
        <v>0</v>
      </c>
      <c r="U41" s="382">
        <v>11122</v>
      </c>
      <c r="V41" s="239">
        <f t="shared" si="54"/>
        <v>1332</v>
      </c>
      <c r="W41" s="244">
        <f t="shared" si="55"/>
        <v>11.976263262003236</v>
      </c>
      <c r="X41" s="239">
        <f t="shared" si="56"/>
        <v>1332</v>
      </c>
      <c r="Y41" s="244">
        <f t="shared" si="57"/>
        <v>11.976263262003236</v>
      </c>
      <c r="Z41" s="239">
        <v>0</v>
      </c>
      <c r="AA41" s="244">
        <f t="shared" si="58"/>
        <v>0</v>
      </c>
      <c r="AB41" s="239">
        <v>0</v>
      </c>
      <c r="AC41" s="244">
        <f t="shared" si="59"/>
        <v>0</v>
      </c>
      <c r="AD41" s="239">
        <v>0</v>
      </c>
      <c r="AE41" s="244">
        <f t="shared" si="60"/>
        <v>0</v>
      </c>
      <c r="AF41" s="239">
        <v>0</v>
      </c>
      <c r="AG41" s="244">
        <f t="shared" si="61"/>
        <v>0</v>
      </c>
      <c r="AH41" s="239">
        <v>1332</v>
      </c>
      <c r="AI41" s="244">
        <f t="shared" si="62"/>
        <v>11.976263262003236</v>
      </c>
      <c r="AJ41" s="239">
        <v>0</v>
      </c>
      <c r="AK41" s="244">
        <f t="shared" si="63"/>
        <v>0</v>
      </c>
    </row>
    <row r="42" spans="1:37" s="10" customFormat="1" ht="14.15" customHeight="1" thickBot="1">
      <c r="A42" s="912"/>
      <c r="B42" s="342">
        <v>52</v>
      </c>
      <c r="C42" s="342" t="s">
        <v>736</v>
      </c>
      <c r="D42" s="247">
        <v>63382</v>
      </c>
      <c r="E42" s="247">
        <f t="shared" si="44"/>
        <v>1427</v>
      </c>
      <c r="F42" s="251">
        <f t="shared" si="45"/>
        <v>2.2514278501782838</v>
      </c>
      <c r="G42" s="247">
        <f t="shared" si="46"/>
        <v>1427</v>
      </c>
      <c r="H42" s="251">
        <f t="shared" si="47"/>
        <v>2.2514278501782838</v>
      </c>
      <c r="I42" s="247">
        <v>898</v>
      </c>
      <c r="J42" s="251">
        <f t="shared" si="48"/>
        <v>1.4168060332586541</v>
      </c>
      <c r="K42" s="247">
        <v>0</v>
      </c>
      <c r="L42" s="251">
        <f t="shared" si="49"/>
        <v>0</v>
      </c>
      <c r="M42" s="247">
        <v>0</v>
      </c>
      <c r="N42" s="251">
        <f t="shared" si="50"/>
        <v>0</v>
      </c>
      <c r="O42" s="247">
        <v>0</v>
      </c>
      <c r="P42" s="251">
        <f t="shared" si="51"/>
        <v>0</v>
      </c>
      <c r="Q42" s="247">
        <v>529</v>
      </c>
      <c r="R42" s="251">
        <f t="shared" si="52"/>
        <v>0.83462181691963022</v>
      </c>
      <c r="S42" s="247">
        <v>0</v>
      </c>
      <c r="T42" s="383">
        <f t="shared" si="53"/>
        <v>0</v>
      </c>
      <c r="U42" s="384">
        <v>5699</v>
      </c>
      <c r="V42" s="247">
        <f t="shared" si="54"/>
        <v>118</v>
      </c>
      <c r="W42" s="251">
        <f t="shared" si="55"/>
        <v>2.0705386909984207</v>
      </c>
      <c r="X42" s="247">
        <f t="shared" si="56"/>
        <v>118</v>
      </c>
      <c r="Y42" s="251">
        <f t="shared" si="57"/>
        <v>2.0705386909984207</v>
      </c>
      <c r="Z42" s="247">
        <v>0</v>
      </c>
      <c r="AA42" s="251">
        <f t="shared" si="58"/>
        <v>0</v>
      </c>
      <c r="AB42" s="247">
        <v>0</v>
      </c>
      <c r="AC42" s="251">
        <f t="shared" si="59"/>
        <v>0</v>
      </c>
      <c r="AD42" s="247">
        <v>0</v>
      </c>
      <c r="AE42" s="251">
        <f t="shared" si="60"/>
        <v>0</v>
      </c>
      <c r="AF42" s="247">
        <v>0</v>
      </c>
      <c r="AG42" s="251">
        <f t="shared" si="61"/>
        <v>0</v>
      </c>
      <c r="AH42" s="247">
        <v>118</v>
      </c>
      <c r="AI42" s="251">
        <f t="shared" si="62"/>
        <v>2.0705386909984207</v>
      </c>
      <c r="AJ42" s="247">
        <v>0</v>
      </c>
      <c r="AK42" s="251">
        <f t="shared" si="63"/>
        <v>0</v>
      </c>
    </row>
    <row r="43" spans="1:37" s="343" customFormat="1" ht="14.15" customHeight="1" thickTop="1">
      <c r="A43" s="912"/>
      <c r="B43" s="252"/>
      <c r="C43" s="385" t="s">
        <v>34</v>
      </c>
      <c r="D43" s="259">
        <f>SUM(D35:D42)</f>
        <v>1829065</v>
      </c>
      <c r="E43" s="259">
        <f>SUM(E35:E42)</f>
        <v>570826</v>
      </c>
      <c r="F43" s="261">
        <f>+ROUND(E43/$D43*100,1)</f>
        <v>31.2</v>
      </c>
      <c r="G43" s="259">
        <f>SUM(G35:G42)</f>
        <v>298923</v>
      </c>
      <c r="H43" s="261">
        <f>+ROUND(G43/$D43*100,1)</f>
        <v>16.3</v>
      </c>
      <c r="I43" s="259">
        <f>SUM(I35:I42)</f>
        <v>50768</v>
      </c>
      <c r="J43" s="261">
        <f>+ROUND(I43/$D43*100,1)</f>
        <v>2.8</v>
      </c>
      <c r="K43" s="259">
        <f>SUM(K35:K42)</f>
        <v>270387</v>
      </c>
      <c r="L43" s="261">
        <f>+ROUND(K43/$D43*100,1)</f>
        <v>14.8</v>
      </c>
      <c r="M43" s="259">
        <f>SUM(M35:M42)</f>
        <v>112</v>
      </c>
      <c r="N43" s="261">
        <f>+ROUND(M43/$D43*100,1)</f>
        <v>0</v>
      </c>
      <c r="O43" s="259">
        <f>SUM(O35:O42)</f>
        <v>1516</v>
      </c>
      <c r="P43" s="261">
        <f>+ROUND(O43/$D43*100,1)</f>
        <v>0.1</v>
      </c>
      <c r="Q43" s="259">
        <f>SUM(Q35:Q42)</f>
        <v>246794</v>
      </c>
      <c r="R43" s="261">
        <f>+ROUND(Q43/$D43*100,1)</f>
        <v>13.5</v>
      </c>
      <c r="S43" s="259">
        <f>SUM(S35:S42)</f>
        <v>1249</v>
      </c>
      <c r="T43" s="386">
        <f>+ROUND(S43/$D43*100,1)</f>
        <v>0.1</v>
      </c>
      <c r="U43" s="259">
        <f>SUM(U35:U42)</f>
        <v>172739</v>
      </c>
      <c r="V43" s="259">
        <f>SUM(V35:V42)</f>
        <v>87629</v>
      </c>
      <c r="W43" s="261">
        <f>+ROUND(V43/$U43*100,1)</f>
        <v>50.7</v>
      </c>
      <c r="X43" s="259">
        <f>SUM(X35:X42)</f>
        <v>37080</v>
      </c>
      <c r="Y43" s="261">
        <f>+ROUND(X43/$U43*100,1)</f>
        <v>21.5</v>
      </c>
      <c r="Z43" s="259">
        <f>SUM(Z35:Z42)</f>
        <v>13610</v>
      </c>
      <c r="AA43" s="261">
        <f>+ROUND(Z43/$U43*100,1)</f>
        <v>7.9</v>
      </c>
      <c r="AB43" s="259">
        <f>SUM(AB35:AB42)</f>
        <v>50213</v>
      </c>
      <c r="AC43" s="261">
        <f>+ROUND(AB43/$U43*100,1)</f>
        <v>29.1</v>
      </c>
      <c r="AD43" s="259">
        <f>SUM(AD35:AD42)</f>
        <v>0</v>
      </c>
      <c r="AE43" s="261">
        <f>+ROUND(AD43/$U43*100,1)</f>
        <v>0</v>
      </c>
      <c r="AF43" s="259">
        <f>SUM(AF35:AF42)</f>
        <v>336</v>
      </c>
      <c r="AG43" s="261">
        <f>+ROUND(AF43/$U43*100,1)</f>
        <v>0.2</v>
      </c>
      <c r="AH43" s="259">
        <f>SUM(AH35:AH42)</f>
        <v>23041</v>
      </c>
      <c r="AI43" s="261">
        <f>+ROUND(AH43/$U43*100,1)</f>
        <v>13.3</v>
      </c>
      <c r="AJ43" s="259">
        <f>SUM(AJ35:AJ42)</f>
        <v>429</v>
      </c>
      <c r="AK43" s="261">
        <f>+ROUND(AJ43/$U43*100,1)</f>
        <v>0.2</v>
      </c>
    </row>
    <row r="44" spans="1:37" s="343" customFormat="1" ht="14.15" customHeight="1">
      <c r="A44" s="912"/>
      <c r="B44" s="263"/>
      <c r="C44" s="357"/>
      <c r="D44" s="270"/>
      <c r="E44" s="270"/>
      <c r="F44" s="272"/>
      <c r="G44" s="270"/>
      <c r="H44" s="272"/>
      <c r="I44" s="270"/>
      <c r="J44" s="272"/>
      <c r="K44" s="270"/>
      <c r="L44" s="272"/>
      <c r="M44" s="270"/>
      <c r="N44" s="272"/>
      <c r="O44" s="270"/>
      <c r="P44" s="272"/>
      <c r="Q44" s="270"/>
      <c r="R44" s="272"/>
      <c r="S44" s="270"/>
      <c r="T44" s="387"/>
      <c r="U44" s="388"/>
      <c r="V44" s="270"/>
      <c r="W44" s="272"/>
      <c r="X44" s="270"/>
      <c r="Y44" s="272"/>
      <c r="Z44" s="270"/>
      <c r="AA44" s="272"/>
      <c r="AB44" s="270"/>
      <c r="AC44" s="272"/>
      <c r="AD44" s="270"/>
      <c r="AE44" s="272"/>
      <c r="AF44" s="270"/>
      <c r="AG44" s="272"/>
      <c r="AH44" s="270"/>
      <c r="AI44" s="272"/>
      <c r="AJ44" s="270"/>
      <c r="AK44" s="272"/>
    </row>
    <row r="45" spans="1:37" s="10" customFormat="1" ht="14.15" customHeight="1">
      <c r="A45" s="912" t="s">
        <v>737</v>
      </c>
      <c r="B45" s="339">
        <v>70</v>
      </c>
      <c r="C45" s="339" t="s">
        <v>738</v>
      </c>
      <c r="D45" s="231">
        <v>1099397</v>
      </c>
      <c r="E45" s="231">
        <f t="shared" ref="E45:E50" si="64">I45+K45+M45+O45+Q45+S45</f>
        <v>369581</v>
      </c>
      <c r="F45" s="236">
        <f>E45/$D45*100</f>
        <v>33.61670079143385</v>
      </c>
      <c r="G45" s="231">
        <f t="shared" ref="G45:G50" si="65">I45+M45+Q45+S45</f>
        <v>99439</v>
      </c>
      <c r="H45" s="236">
        <f>G45/$D45*100</f>
        <v>9.0448673227232739</v>
      </c>
      <c r="I45" s="231">
        <v>88507</v>
      </c>
      <c r="J45" s="236">
        <f>I45/$D45*100</f>
        <v>8.0505040490377908</v>
      </c>
      <c r="K45" s="231">
        <v>270142</v>
      </c>
      <c r="L45" s="236">
        <f>K45/$D45*100</f>
        <v>24.571833468710576</v>
      </c>
      <c r="M45" s="231">
        <v>1723</v>
      </c>
      <c r="N45" s="236">
        <f>M45/$D45*100</f>
        <v>0.15672227593853721</v>
      </c>
      <c r="O45" s="231">
        <v>0</v>
      </c>
      <c r="P45" s="236">
        <f>O45/$D45*100</f>
        <v>0</v>
      </c>
      <c r="Q45" s="231">
        <v>5014</v>
      </c>
      <c r="R45" s="236">
        <f>Q45/$D45*100</f>
        <v>0.45606819010785005</v>
      </c>
      <c r="S45" s="231">
        <v>4195</v>
      </c>
      <c r="T45" s="379">
        <f>S45/$D45*100</f>
        <v>0.38157280763909668</v>
      </c>
      <c r="U45" s="2105">
        <v>207631</v>
      </c>
      <c r="V45" s="231">
        <f t="shared" ref="V45:V50" si="66">Z45+AB45+AD45+AF45+AH45+AJ45</f>
        <v>68862</v>
      </c>
      <c r="W45" s="236">
        <f>V45/$U45*100</f>
        <v>33.165567762039387</v>
      </c>
      <c r="X45" s="231">
        <f t="shared" ref="X45:X50" si="67">Z45+AD45+AH45+AJ45</f>
        <v>17062</v>
      </c>
      <c r="Y45" s="236">
        <f>X45/$U45*100</f>
        <v>8.2174627102889275</v>
      </c>
      <c r="Z45" s="231">
        <v>14583</v>
      </c>
      <c r="AA45" s="236">
        <f>Z45/$U45*100</f>
        <v>7.0235176828122974</v>
      </c>
      <c r="AB45" s="231">
        <v>51800</v>
      </c>
      <c r="AC45" s="236">
        <f>AB45/$U45*100</f>
        <v>24.94810505175046</v>
      </c>
      <c r="AD45" s="231">
        <v>1291</v>
      </c>
      <c r="AE45" s="236">
        <f>AD45/$U45*100</f>
        <v>0.62177613169517076</v>
      </c>
      <c r="AF45" s="231">
        <v>0</v>
      </c>
      <c r="AG45" s="236">
        <f>AF45/$U45*100</f>
        <v>0</v>
      </c>
      <c r="AH45" s="231">
        <v>42</v>
      </c>
      <c r="AI45" s="236">
        <f>AH45/$U45*100</f>
        <v>2.0228193285203075E-2</v>
      </c>
      <c r="AJ45" s="231">
        <v>1146</v>
      </c>
      <c r="AK45" s="236">
        <f>AJ45/$U45*100</f>
        <v>0.55194070249625538</v>
      </c>
    </row>
    <row r="46" spans="1:37" s="10" customFormat="1" ht="14.15" customHeight="1">
      <c r="A46" s="912"/>
      <c r="B46" s="340">
        <v>83</v>
      </c>
      <c r="C46" s="340" t="s">
        <v>739</v>
      </c>
      <c r="D46" s="239">
        <v>204532</v>
      </c>
      <c r="E46" s="239">
        <f t="shared" si="64"/>
        <v>68968</v>
      </c>
      <c r="F46" s="244">
        <f>E46/$D46*100</f>
        <v>33.719906909432261</v>
      </c>
      <c r="G46" s="239">
        <f t="shared" si="65"/>
        <v>1986</v>
      </c>
      <c r="H46" s="244">
        <f>G46/$D46*100</f>
        <v>0.97099720337159956</v>
      </c>
      <c r="I46" s="239">
        <v>0</v>
      </c>
      <c r="J46" s="244">
        <f>I46/$D46*100</f>
        <v>0</v>
      </c>
      <c r="K46" s="239">
        <v>66982</v>
      </c>
      <c r="L46" s="244">
        <f>K46/$D46*100</f>
        <v>32.748909706060665</v>
      </c>
      <c r="M46" s="239">
        <v>0</v>
      </c>
      <c r="N46" s="244">
        <f>M46/$D46*100</f>
        <v>0</v>
      </c>
      <c r="O46" s="239">
        <v>0</v>
      </c>
      <c r="P46" s="244">
        <f>O46/$D46*100</f>
        <v>0</v>
      </c>
      <c r="Q46" s="239">
        <v>1986</v>
      </c>
      <c r="R46" s="244">
        <f>Q46/$D46*100</f>
        <v>0.97099720337159956</v>
      </c>
      <c r="S46" s="239">
        <v>0</v>
      </c>
      <c r="T46" s="381">
        <f>S46/$D46*100</f>
        <v>0</v>
      </c>
      <c r="U46" s="2106">
        <v>20779</v>
      </c>
      <c r="V46" s="239">
        <f t="shared" si="66"/>
        <v>0</v>
      </c>
      <c r="W46" s="244">
        <f>V46/$U46*100</f>
        <v>0</v>
      </c>
      <c r="X46" s="239">
        <f t="shared" si="67"/>
        <v>0</v>
      </c>
      <c r="Y46" s="244">
        <f>X46/$U46*100</f>
        <v>0</v>
      </c>
      <c r="Z46" s="239">
        <v>0</v>
      </c>
      <c r="AA46" s="244">
        <f>Z46/$U46*100</f>
        <v>0</v>
      </c>
      <c r="AB46" s="239">
        <v>0</v>
      </c>
      <c r="AC46" s="244">
        <f>AB46/$U46*100</f>
        <v>0</v>
      </c>
      <c r="AD46" s="239">
        <v>0</v>
      </c>
      <c r="AE46" s="244">
        <f>AD46/$U46*100</f>
        <v>0</v>
      </c>
      <c r="AF46" s="239">
        <v>0</v>
      </c>
      <c r="AG46" s="244">
        <f>AF46/$U46*100</f>
        <v>0</v>
      </c>
      <c r="AH46" s="239">
        <v>0</v>
      </c>
      <c r="AI46" s="244">
        <f>AH46/$U46*100</f>
        <v>0</v>
      </c>
      <c r="AJ46" s="239">
        <v>0</v>
      </c>
      <c r="AK46" s="244">
        <f>AJ46/$U46*100</f>
        <v>0</v>
      </c>
    </row>
    <row r="47" spans="1:37" s="10" customFormat="1" ht="14.15" customHeight="1">
      <c r="A47" s="912"/>
      <c r="B47" s="346">
        <v>76</v>
      </c>
      <c r="C47" s="346" t="s">
        <v>740</v>
      </c>
      <c r="D47" s="281">
        <v>100461</v>
      </c>
      <c r="E47" s="239">
        <f t="shared" si="64"/>
        <v>4789</v>
      </c>
      <c r="F47" s="244">
        <f t="shared" ref="F47:F49" si="68">E47/$D47*100</f>
        <v>4.7670240192711599</v>
      </c>
      <c r="G47" s="239">
        <f t="shared" si="65"/>
        <v>4488</v>
      </c>
      <c r="H47" s="244">
        <f t="shared" ref="H47:H49" si="69">G47/$D47*100</f>
        <v>4.4674052617433633</v>
      </c>
      <c r="I47" s="281">
        <v>1677</v>
      </c>
      <c r="J47" s="244">
        <f t="shared" ref="J47:J49" si="70">I47/$D47*100</f>
        <v>1.669304506226297</v>
      </c>
      <c r="K47" s="281">
        <v>301</v>
      </c>
      <c r="L47" s="244">
        <f t="shared" ref="L47:L50" si="71">K47/$D47*100</f>
        <v>0.29961875752779688</v>
      </c>
      <c r="M47" s="281">
        <v>0</v>
      </c>
      <c r="N47" s="244">
        <f t="shared" ref="N47:N49" si="72">M47/$D47*100</f>
        <v>0</v>
      </c>
      <c r="O47" s="281">
        <v>0</v>
      </c>
      <c r="P47" s="244">
        <f t="shared" ref="P47:P49" si="73">O47/$D47*100</f>
        <v>0</v>
      </c>
      <c r="Q47" s="281">
        <v>2743</v>
      </c>
      <c r="R47" s="244">
        <f t="shared" ref="R47:R49" si="74">Q47/$D47*100</f>
        <v>2.730412797005803</v>
      </c>
      <c r="S47" s="281">
        <v>68</v>
      </c>
      <c r="T47" s="381">
        <f t="shared" ref="T47:T50" si="75">S47/$D47*100</f>
        <v>6.768795851126308E-2</v>
      </c>
      <c r="U47" s="2105">
        <v>9551</v>
      </c>
      <c r="V47" s="239">
        <f t="shared" si="66"/>
        <v>749</v>
      </c>
      <c r="W47" s="244">
        <f t="shared" ref="W47:W49" si="76">V47/$U47*100</f>
        <v>7.842110773740969</v>
      </c>
      <c r="X47" s="239">
        <f t="shared" si="67"/>
        <v>692</v>
      </c>
      <c r="Y47" s="244">
        <f t="shared" ref="Y47:Y49" si="77">X47/$U47*100</f>
        <v>7.2453146267406554</v>
      </c>
      <c r="Z47" s="281">
        <v>0</v>
      </c>
      <c r="AA47" s="244">
        <f t="shared" ref="AA47:AA49" si="78">Z47/$U47*100</f>
        <v>0</v>
      </c>
      <c r="AB47" s="281">
        <v>57</v>
      </c>
      <c r="AC47" s="244">
        <f t="shared" ref="AC47:AC49" si="79">AB47/$U47*100</f>
        <v>0.59679614700031414</v>
      </c>
      <c r="AD47" s="281">
        <v>0</v>
      </c>
      <c r="AE47" s="244">
        <f t="shared" ref="AE47:AE49" si="80">AD47/$U47*100</f>
        <v>0</v>
      </c>
      <c r="AF47" s="281">
        <v>0</v>
      </c>
      <c r="AG47" s="244">
        <f t="shared" ref="AG47:AG49" si="81">AF47/$U47*100</f>
        <v>0</v>
      </c>
      <c r="AH47" s="281">
        <v>658</v>
      </c>
      <c r="AI47" s="244">
        <f t="shared" ref="AI47:AI50" si="82">AH47/$U47*100</f>
        <v>6.8893309601088886</v>
      </c>
      <c r="AJ47" s="281">
        <v>34</v>
      </c>
      <c r="AK47" s="244">
        <f t="shared" ref="AK47:AK49" si="83">AJ47/$U47*100</f>
        <v>0.35598366663176634</v>
      </c>
    </row>
    <row r="48" spans="1:37" s="10" customFormat="1" ht="14.15" customHeight="1">
      <c r="A48" s="912"/>
      <c r="B48" s="346">
        <v>93</v>
      </c>
      <c r="C48" s="346" t="s">
        <v>742</v>
      </c>
      <c r="D48" s="281">
        <v>150748</v>
      </c>
      <c r="E48" s="239">
        <f t="shared" si="64"/>
        <v>12708</v>
      </c>
      <c r="F48" s="244">
        <f t="shared" si="68"/>
        <v>8.4299625865683119</v>
      </c>
      <c r="G48" s="239">
        <f t="shared" si="65"/>
        <v>12708</v>
      </c>
      <c r="H48" s="244">
        <f t="shared" si="69"/>
        <v>8.4299625865683119</v>
      </c>
      <c r="I48" s="281">
        <v>0</v>
      </c>
      <c r="J48" s="244">
        <f t="shared" si="70"/>
        <v>0</v>
      </c>
      <c r="K48" s="281">
        <v>0</v>
      </c>
      <c r="L48" s="244">
        <f t="shared" si="71"/>
        <v>0</v>
      </c>
      <c r="M48" s="281">
        <v>755</v>
      </c>
      <c r="N48" s="244">
        <f t="shared" si="72"/>
        <v>0.50083583198450399</v>
      </c>
      <c r="O48" s="281">
        <v>0</v>
      </c>
      <c r="P48" s="244">
        <f t="shared" si="73"/>
        <v>0</v>
      </c>
      <c r="Q48" s="281">
        <v>11953</v>
      </c>
      <c r="R48" s="244">
        <f t="shared" si="74"/>
        <v>7.929126754583808</v>
      </c>
      <c r="S48" s="281">
        <v>0</v>
      </c>
      <c r="T48" s="381">
        <f t="shared" si="75"/>
        <v>0</v>
      </c>
      <c r="U48" s="2107">
        <v>28937</v>
      </c>
      <c r="V48" s="239">
        <f t="shared" si="66"/>
        <v>1782</v>
      </c>
      <c r="W48" s="244">
        <f t="shared" si="76"/>
        <v>6.1582057573349003</v>
      </c>
      <c r="X48" s="239">
        <f t="shared" si="67"/>
        <v>1782</v>
      </c>
      <c r="Y48" s="244">
        <f t="shared" si="77"/>
        <v>6.1582057573349003</v>
      </c>
      <c r="Z48" s="281">
        <v>0</v>
      </c>
      <c r="AA48" s="244">
        <f t="shared" si="78"/>
        <v>0</v>
      </c>
      <c r="AB48" s="281">
        <v>0</v>
      </c>
      <c r="AC48" s="244">
        <f t="shared" si="79"/>
        <v>0</v>
      </c>
      <c r="AD48" s="281">
        <v>352</v>
      </c>
      <c r="AE48" s="244">
        <f t="shared" si="80"/>
        <v>1.2164357051525729</v>
      </c>
      <c r="AF48" s="281">
        <v>0</v>
      </c>
      <c r="AG48" s="244">
        <f t="shared" si="81"/>
        <v>0</v>
      </c>
      <c r="AH48" s="281">
        <v>1430</v>
      </c>
      <c r="AI48" s="244">
        <f t="shared" si="82"/>
        <v>4.9417700521823278</v>
      </c>
      <c r="AJ48" s="281">
        <v>0</v>
      </c>
      <c r="AK48" s="244">
        <f t="shared" si="83"/>
        <v>0</v>
      </c>
    </row>
    <row r="49" spans="1:37" s="10" customFormat="1" ht="14.15" customHeight="1">
      <c r="A49" s="912"/>
      <c r="B49" s="346">
        <v>94</v>
      </c>
      <c r="C49" s="346" t="s">
        <v>743</v>
      </c>
      <c r="D49" s="281">
        <v>110506</v>
      </c>
      <c r="E49" s="239">
        <f t="shared" si="64"/>
        <v>11610</v>
      </c>
      <c r="F49" s="244">
        <f t="shared" si="68"/>
        <v>10.50621685700324</v>
      </c>
      <c r="G49" s="239">
        <f t="shared" si="65"/>
        <v>0</v>
      </c>
      <c r="H49" s="244">
        <f t="shared" si="69"/>
        <v>0</v>
      </c>
      <c r="I49" s="281">
        <v>0</v>
      </c>
      <c r="J49" s="244">
        <f t="shared" si="70"/>
        <v>0</v>
      </c>
      <c r="K49" s="281">
        <v>0</v>
      </c>
      <c r="L49" s="244">
        <f t="shared" si="71"/>
        <v>0</v>
      </c>
      <c r="M49" s="281">
        <v>0</v>
      </c>
      <c r="N49" s="244">
        <f t="shared" si="72"/>
        <v>0</v>
      </c>
      <c r="O49" s="281">
        <v>11610</v>
      </c>
      <c r="P49" s="244">
        <f t="shared" si="73"/>
        <v>10.50621685700324</v>
      </c>
      <c r="Q49" s="281">
        <v>0</v>
      </c>
      <c r="R49" s="244">
        <f t="shared" si="74"/>
        <v>0</v>
      </c>
      <c r="S49" s="281">
        <v>0</v>
      </c>
      <c r="T49" s="381">
        <f t="shared" si="75"/>
        <v>0</v>
      </c>
      <c r="U49" s="2106">
        <v>33094</v>
      </c>
      <c r="V49" s="239">
        <f t="shared" si="66"/>
        <v>11610</v>
      </c>
      <c r="W49" s="244">
        <f t="shared" si="76"/>
        <v>35.081887955520642</v>
      </c>
      <c r="X49" s="239">
        <f t="shared" si="67"/>
        <v>0</v>
      </c>
      <c r="Y49" s="244">
        <f t="shared" si="77"/>
        <v>0</v>
      </c>
      <c r="Z49" s="281">
        <v>0</v>
      </c>
      <c r="AA49" s="244">
        <f t="shared" si="78"/>
        <v>0</v>
      </c>
      <c r="AB49" s="281">
        <v>0</v>
      </c>
      <c r="AC49" s="244">
        <f t="shared" si="79"/>
        <v>0</v>
      </c>
      <c r="AD49" s="281">
        <v>0</v>
      </c>
      <c r="AE49" s="244">
        <f t="shared" si="80"/>
        <v>0</v>
      </c>
      <c r="AF49" s="281">
        <v>11610</v>
      </c>
      <c r="AG49" s="244">
        <f t="shared" si="81"/>
        <v>35.081887955520642</v>
      </c>
      <c r="AH49" s="281">
        <v>0</v>
      </c>
      <c r="AI49" s="244">
        <f t="shared" si="82"/>
        <v>0</v>
      </c>
      <c r="AJ49" s="281">
        <v>0</v>
      </c>
      <c r="AK49" s="244">
        <f t="shared" si="83"/>
        <v>0</v>
      </c>
    </row>
    <row r="50" spans="1:37" s="10" customFormat="1" ht="14.15" customHeight="1" thickBot="1">
      <c r="A50" s="912"/>
      <c r="B50" s="342">
        <v>91</v>
      </c>
      <c r="C50" s="342" t="s">
        <v>801</v>
      </c>
      <c r="D50" s="247">
        <v>125344</v>
      </c>
      <c r="E50" s="247">
        <f t="shared" si="64"/>
        <v>33673</v>
      </c>
      <c r="F50" s="251">
        <f>E50/$D50*100</f>
        <v>26.864468981363288</v>
      </c>
      <c r="G50" s="247">
        <f t="shared" si="65"/>
        <v>33673</v>
      </c>
      <c r="H50" s="251">
        <f>G50/$D50*100</f>
        <v>26.864468981363288</v>
      </c>
      <c r="I50" s="247">
        <v>0</v>
      </c>
      <c r="J50" s="251">
        <f>I50/$D50*100</f>
        <v>0</v>
      </c>
      <c r="K50" s="247">
        <v>0</v>
      </c>
      <c r="L50" s="244">
        <f t="shared" si="71"/>
        <v>0</v>
      </c>
      <c r="M50" s="247">
        <v>6807</v>
      </c>
      <c r="N50" s="251">
        <f>M50/$D50*100</f>
        <v>5.4306548378861379</v>
      </c>
      <c r="O50" s="247">
        <v>0</v>
      </c>
      <c r="P50" s="251">
        <f>O50/$D50*100</f>
        <v>0</v>
      </c>
      <c r="Q50" s="247">
        <v>26866</v>
      </c>
      <c r="R50" s="251">
        <f>Q50/$D50*100</f>
        <v>21.43381414347715</v>
      </c>
      <c r="S50" s="247">
        <v>0</v>
      </c>
      <c r="T50" s="381">
        <f t="shared" si="75"/>
        <v>0</v>
      </c>
      <c r="U50" s="2105">
        <v>125344</v>
      </c>
      <c r="V50" s="247">
        <f t="shared" si="66"/>
        <v>33673</v>
      </c>
      <c r="W50" s="251">
        <f>V50/$U50*100</f>
        <v>26.864468981363288</v>
      </c>
      <c r="X50" s="247">
        <f t="shared" si="67"/>
        <v>33673</v>
      </c>
      <c r="Y50" s="251">
        <f>X50/$U50*100</f>
        <v>26.864468981363288</v>
      </c>
      <c r="Z50" s="247">
        <v>0</v>
      </c>
      <c r="AA50" s="251">
        <f>Z50/$U50*100</f>
        <v>0</v>
      </c>
      <c r="AB50" s="247">
        <v>0</v>
      </c>
      <c r="AC50" s="251">
        <f>AB50/$U50*100</f>
        <v>0</v>
      </c>
      <c r="AD50" s="247">
        <v>6807</v>
      </c>
      <c r="AE50" s="251">
        <f>AD50/$U50*100</f>
        <v>5.4306548378861379</v>
      </c>
      <c r="AF50" s="247">
        <v>0</v>
      </c>
      <c r="AG50" s="251">
        <f>AF50/$U50*100</f>
        <v>0</v>
      </c>
      <c r="AH50" s="247">
        <v>26866</v>
      </c>
      <c r="AI50" s="244">
        <f t="shared" si="82"/>
        <v>21.43381414347715</v>
      </c>
      <c r="AJ50" s="247">
        <v>0</v>
      </c>
      <c r="AK50" s="251">
        <f>AJ50/$U50*100</f>
        <v>0</v>
      </c>
    </row>
    <row r="51" spans="1:37" s="343" customFormat="1" ht="14.15" customHeight="1" thickTop="1">
      <c r="A51" s="912"/>
      <c r="B51" s="252"/>
      <c r="C51" s="385" t="s">
        <v>34</v>
      </c>
      <c r="D51" s="259">
        <f>SUM(D45:D50)</f>
        <v>1790988</v>
      </c>
      <c r="E51" s="259">
        <f>SUM(E45:E50)</f>
        <v>501329</v>
      </c>
      <c r="F51" s="261">
        <f>+ROUND(E51/$D51*100,1)</f>
        <v>28</v>
      </c>
      <c r="G51" s="259">
        <f>SUM(G45:G50)</f>
        <v>152294</v>
      </c>
      <c r="H51" s="261">
        <f>+ROUND(G51/$D51*100,1)</f>
        <v>8.5</v>
      </c>
      <c r="I51" s="259">
        <f>SUM(I45:I50)</f>
        <v>90184</v>
      </c>
      <c r="J51" s="261">
        <f>+ROUND(I51/$D51*100,1)</f>
        <v>5</v>
      </c>
      <c r="K51" s="259">
        <f>SUM(K45:K50)</f>
        <v>337425</v>
      </c>
      <c r="L51" s="261">
        <f>+ROUND(K51/$D51*100,1)</f>
        <v>18.8</v>
      </c>
      <c r="M51" s="259">
        <f>SUM(M45:M50)</f>
        <v>9285</v>
      </c>
      <c r="N51" s="261">
        <f>+ROUND(M51/$D51*100,1)</f>
        <v>0.5</v>
      </c>
      <c r="O51" s="259">
        <f>SUM(O45:O50)</f>
        <v>11610</v>
      </c>
      <c r="P51" s="261">
        <f>+ROUND(O51/$D51*100,1)</f>
        <v>0.6</v>
      </c>
      <c r="Q51" s="259">
        <f>SUM(Q45:Q50)</f>
        <v>48562</v>
      </c>
      <c r="R51" s="261">
        <f>+ROUND(Q51/$D51*100,1)</f>
        <v>2.7</v>
      </c>
      <c r="S51" s="259">
        <f>SUM(S45:S50)</f>
        <v>4263</v>
      </c>
      <c r="T51" s="386">
        <f>+ROUND(S51/$D51*100,1)</f>
        <v>0.2</v>
      </c>
      <c r="U51" s="259">
        <f>SUM(U45:U50)</f>
        <v>425336</v>
      </c>
      <c r="V51" s="259">
        <f>SUM(V45:V50)</f>
        <v>116676</v>
      </c>
      <c r="W51" s="261">
        <f>+ROUND(V51/$U51*100,1)</f>
        <v>27.4</v>
      </c>
      <c r="X51" s="259">
        <f>SUM(X45:X50)</f>
        <v>53209</v>
      </c>
      <c r="Y51" s="261">
        <f>+ROUND(X51/$U51*100,1)</f>
        <v>12.5</v>
      </c>
      <c r="Z51" s="259">
        <f>SUM(Z45:Z50)</f>
        <v>14583</v>
      </c>
      <c r="AA51" s="261">
        <f>+ROUND(Z51/$U51*100,1)</f>
        <v>3.4</v>
      </c>
      <c r="AB51" s="259">
        <f>SUM(AB45:AB50)</f>
        <v>51857</v>
      </c>
      <c r="AC51" s="261">
        <f>+ROUND(AB51/$U51*100,1)</f>
        <v>12.2</v>
      </c>
      <c r="AD51" s="259">
        <f>SUM(AD45:AD50)</f>
        <v>8450</v>
      </c>
      <c r="AE51" s="261">
        <f>+ROUND(AD51/$U51*100,1)</f>
        <v>2</v>
      </c>
      <c r="AF51" s="259">
        <f>SUM(AF45:AF50)</f>
        <v>11610</v>
      </c>
      <c r="AG51" s="261">
        <f>+ROUND(AF51/$U51*100,1)</f>
        <v>2.7</v>
      </c>
      <c r="AH51" s="259">
        <f>SUM(AH45:AH50)</f>
        <v>28996</v>
      </c>
      <c r="AI51" s="261">
        <f>+ROUND(AH51/$U51*100,1)</f>
        <v>6.8</v>
      </c>
      <c r="AJ51" s="259">
        <f>SUM(AJ45:AJ50)</f>
        <v>1180</v>
      </c>
      <c r="AK51" s="261">
        <f>+ROUND(AJ51/$U51*100,1)</f>
        <v>0.3</v>
      </c>
    </row>
    <row r="52" spans="1:37" s="343" customFormat="1" ht="14.15" customHeight="1">
      <c r="A52" s="912"/>
      <c r="B52" s="263"/>
      <c r="C52" s="357"/>
      <c r="D52" s="270"/>
      <c r="E52" s="270"/>
      <c r="F52" s="272"/>
      <c r="G52" s="270"/>
      <c r="H52" s="272"/>
      <c r="I52" s="270"/>
      <c r="J52" s="272"/>
      <c r="K52" s="270"/>
      <c r="L52" s="272"/>
      <c r="M52" s="270"/>
      <c r="N52" s="272"/>
      <c r="O52" s="270"/>
      <c r="P52" s="272"/>
      <c r="Q52" s="270"/>
      <c r="R52" s="272"/>
      <c r="S52" s="270"/>
      <c r="T52" s="387"/>
      <c r="U52" s="388"/>
      <c r="V52" s="270"/>
      <c r="W52" s="272"/>
      <c r="X52" s="270"/>
      <c r="Y52" s="272"/>
      <c r="Z52" s="270"/>
      <c r="AA52" s="272"/>
      <c r="AB52" s="270"/>
      <c r="AC52" s="272"/>
      <c r="AD52" s="270"/>
      <c r="AE52" s="272"/>
      <c r="AF52" s="270"/>
      <c r="AG52" s="272"/>
      <c r="AH52" s="270"/>
      <c r="AI52" s="272"/>
      <c r="AJ52" s="270"/>
      <c r="AK52" s="272"/>
    </row>
    <row r="53" spans="1:37" s="10" customFormat="1" ht="14.15" customHeight="1" thickBot="1">
      <c r="A53" s="912" t="s">
        <v>745</v>
      </c>
      <c r="B53" s="347">
        <v>20</v>
      </c>
      <c r="C53" s="347" t="s">
        <v>746</v>
      </c>
      <c r="D53" s="287">
        <v>92951</v>
      </c>
      <c r="E53" s="287">
        <f>I53+K53+M53+O53+Q53+S53</f>
        <v>3040</v>
      </c>
      <c r="F53" s="291">
        <f>E53/$D53*100</f>
        <v>3.2705403922496803</v>
      </c>
      <c r="G53" s="287">
        <f t="shared" ref="G53" si="84">I53+M53+Q53+S53</f>
        <v>3040</v>
      </c>
      <c r="H53" s="291">
        <f>G53/$D53*100</f>
        <v>3.2705403922496803</v>
      </c>
      <c r="I53" s="287">
        <v>3040</v>
      </c>
      <c r="J53" s="291">
        <f>I53/$D53*100</f>
        <v>3.2705403922496803</v>
      </c>
      <c r="K53" s="287">
        <v>0</v>
      </c>
      <c r="L53" s="291">
        <f>K53/$D53*100</f>
        <v>0</v>
      </c>
      <c r="M53" s="287">
        <v>0</v>
      </c>
      <c r="N53" s="291">
        <f>M53/$D53*100</f>
        <v>0</v>
      </c>
      <c r="O53" s="287">
        <v>0</v>
      </c>
      <c r="P53" s="291">
        <f>O53/$D53*100</f>
        <v>0</v>
      </c>
      <c r="Q53" s="287">
        <v>0</v>
      </c>
      <c r="R53" s="291">
        <f>Q53/$D53*100</f>
        <v>0</v>
      </c>
      <c r="S53" s="287">
        <v>0</v>
      </c>
      <c r="T53" s="390">
        <f>S53/$D53*100</f>
        <v>0</v>
      </c>
      <c r="U53" s="391">
        <v>8037</v>
      </c>
      <c r="V53" s="287">
        <f t="shared" ref="V53" si="85">Z53+AB53+AD53+AF53+AH53+AJ53</f>
        <v>0</v>
      </c>
      <c r="W53" s="291">
        <f>V53/$U53*100</f>
        <v>0</v>
      </c>
      <c r="X53" s="287">
        <f t="shared" ref="X53" si="86">Z53+AD53+AH53+AJ53</f>
        <v>0</v>
      </c>
      <c r="Y53" s="291">
        <f>X53/$U53*100</f>
        <v>0</v>
      </c>
      <c r="Z53" s="287">
        <v>0</v>
      </c>
      <c r="AA53" s="291">
        <f>Z53/$U53*100</f>
        <v>0</v>
      </c>
      <c r="AB53" s="287">
        <v>0</v>
      </c>
      <c r="AC53" s="291">
        <f>AB53/$U53*100</f>
        <v>0</v>
      </c>
      <c r="AD53" s="287">
        <v>0</v>
      </c>
      <c r="AE53" s="291">
        <f>AD53/$U53*100</f>
        <v>0</v>
      </c>
      <c r="AF53" s="287">
        <v>0</v>
      </c>
      <c r="AG53" s="291">
        <f>AF53/$U53*100</f>
        <v>0</v>
      </c>
      <c r="AH53" s="287">
        <v>0</v>
      </c>
      <c r="AI53" s="291">
        <f>AH53/$U53*100</f>
        <v>0</v>
      </c>
      <c r="AJ53" s="287">
        <v>0</v>
      </c>
      <c r="AK53" s="291">
        <f>AJ53/$U53*100</f>
        <v>0</v>
      </c>
    </row>
    <row r="54" spans="1:37" s="343" customFormat="1" ht="14.15" customHeight="1" thickTop="1">
      <c r="A54" s="912"/>
      <c r="B54" s="252"/>
      <c r="C54" s="385" t="s">
        <v>34</v>
      </c>
      <c r="D54" s="259">
        <f>SUM(D53)</f>
        <v>92951</v>
      </c>
      <c r="E54" s="259">
        <f>SUM(E53)</f>
        <v>3040</v>
      </c>
      <c r="F54" s="261">
        <f>+ROUND(E54/$D54*100,1)</f>
        <v>3.3</v>
      </c>
      <c r="G54" s="259">
        <f>SUM(G53)</f>
        <v>3040</v>
      </c>
      <c r="H54" s="261">
        <f>+ROUND(G54/$D54*100,1)</f>
        <v>3.3</v>
      </c>
      <c r="I54" s="259">
        <f>SUM(I53)</f>
        <v>3040</v>
      </c>
      <c r="J54" s="261">
        <f>+ROUND(I54/$D54*100,1)</f>
        <v>3.3</v>
      </c>
      <c r="K54" s="259">
        <f>SUM(K53)</f>
        <v>0</v>
      </c>
      <c r="L54" s="261">
        <f>+ROUND(K54/$D54*100,1)</f>
        <v>0</v>
      </c>
      <c r="M54" s="259">
        <f>SUM(M53)</f>
        <v>0</v>
      </c>
      <c r="N54" s="261">
        <f>+ROUND(M54/$D54*100,1)</f>
        <v>0</v>
      </c>
      <c r="O54" s="259">
        <f>SUM(O53)</f>
        <v>0</v>
      </c>
      <c r="P54" s="261">
        <f>+ROUND(O54/$D54*100,1)</f>
        <v>0</v>
      </c>
      <c r="Q54" s="259">
        <f>SUM(Q53)</f>
        <v>0</v>
      </c>
      <c r="R54" s="261">
        <f>+ROUND(Q54/$D54*100,1)</f>
        <v>0</v>
      </c>
      <c r="S54" s="259">
        <f>SUM(S53)</f>
        <v>0</v>
      </c>
      <c r="T54" s="386">
        <f>+ROUND(S54/$D54*100,1)</f>
        <v>0</v>
      </c>
      <c r="U54" s="259">
        <f>SUM(U53)</f>
        <v>8037</v>
      </c>
      <c r="V54" s="259">
        <f>SUM(V53)</f>
        <v>0</v>
      </c>
      <c r="W54" s="261">
        <f>+ROUND(V54/$U54*100,1)</f>
        <v>0</v>
      </c>
      <c r="X54" s="259">
        <f>SUM(X53)</f>
        <v>0</v>
      </c>
      <c r="Y54" s="261">
        <f>+ROUND(X54/$U54*100,1)</f>
        <v>0</v>
      </c>
      <c r="Z54" s="259">
        <f>SUM(Z53)</f>
        <v>0</v>
      </c>
      <c r="AA54" s="261">
        <f>+ROUND(Z54/$U54*100,1)</f>
        <v>0</v>
      </c>
      <c r="AB54" s="259">
        <f>SUM(AB53)</f>
        <v>0</v>
      </c>
      <c r="AC54" s="261">
        <f>+ROUND(AB54/$U54*100,1)</f>
        <v>0</v>
      </c>
      <c r="AD54" s="259">
        <f>SUM(AD53)</f>
        <v>0</v>
      </c>
      <c r="AE54" s="261">
        <f>+ROUND(AD54/$U54*100,1)</f>
        <v>0</v>
      </c>
      <c r="AF54" s="259">
        <f>SUM(AF53)</f>
        <v>0</v>
      </c>
      <c r="AG54" s="261">
        <f>+ROUND(AF54/$U54*100,1)</f>
        <v>0</v>
      </c>
      <c r="AH54" s="259">
        <f>SUM(AH53)</f>
        <v>0</v>
      </c>
      <c r="AI54" s="261">
        <f>+ROUND(AH54/$U54*100,1)</f>
        <v>0</v>
      </c>
      <c r="AJ54" s="259">
        <f>SUM(AJ53)</f>
        <v>0</v>
      </c>
      <c r="AK54" s="261">
        <f>+ROUND(AJ54/$U54*100,1)</f>
        <v>0</v>
      </c>
    </row>
    <row r="55" spans="1:37" s="343" customFormat="1" ht="14.15" customHeight="1">
      <c r="A55" s="912"/>
      <c r="B55" s="263"/>
      <c r="C55" s="357"/>
      <c r="D55" s="270"/>
      <c r="E55" s="270"/>
      <c r="F55" s="272"/>
      <c r="G55" s="270"/>
      <c r="H55" s="272"/>
      <c r="I55" s="270"/>
      <c r="J55" s="272"/>
      <c r="K55" s="270"/>
      <c r="L55" s="272"/>
      <c r="M55" s="270"/>
      <c r="N55" s="272"/>
      <c r="O55" s="270"/>
      <c r="P55" s="272"/>
      <c r="Q55" s="270"/>
      <c r="R55" s="272"/>
      <c r="S55" s="270"/>
      <c r="T55" s="387"/>
      <c r="U55" s="388"/>
      <c r="V55" s="270"/>
      <c r="W55" s="272"/>
      <c r="X55" s="270"/>
      <c r="Y55" s="272"/>
      <c r="Z55" s="270"/>
      <c r="AA55" s="272"/>
      <c r="AB55" s="270"/>
      <c r="AC55" s="272"/>
      <c r="AD55" s="270"/>
      <c r="AE55" s="272"/>
      <c r="AF55" s="270"/>
      <c r="AG55" s="272"/>
      <c r="AH55" s="270"/>
      <c r="AI55" s="272"/>
      <c r="AJ55" s="270"/>
      <c r="AK55" s="272"/>
    </row>
    <row r="56" spans="1:37" s="10" customFormat="1" ht="14.15" customHeight="1">
      <c r="A56" s="912" t="s">
        <v>516</v>
      </c>
      <c r="B56" s="339">
        <v>4</v>
      </c>
      <c r="C56" s="339" t="s">
        <v>747</v>
      </c>
      <c r="D56" s="231">
        <v>1344849</v>
      </c>
      <c r="E56" s="231">
        <f t="shared" ref="E56:E62" si="87">I56+K56+M56+O56+Q56+S56</f>
        <v>264508</v>
      </c>
      <c r="F56" s="236">
        <f t="shared" ref="F56:F62" si="88">E56/$D56*100</f>
        <v>19.668230410997815</v>
      </c>
      <c r="G56" s="231">
        <f t="shared" ref="G56:G62" si="89">I56+M56+Q56+S56</f>
        <v>157882</v>
      </c>
      <c r="H56" s="236">
        <f t="shared" ref="H56:H62" si="90">G56/$D56*100</f>
        <v>11.739756656695286</v>
      </c>
      <c r="I56" s="231">
        <v>12383</v>
      </c>
      <c r="J56" s="236">
        <f t="shared" ref="J56:J62" si="91">I56/$D56*100</f>
        <v>0.92077251795554749</v>
      </c>
      <c r="K56" s="231">
        <v>106626</v>
      </c>
      <c r="L56" s="236">
        <f t="shared" ref="L56:L62" si="92">K56/$D56*100</f>
        <v>7.9284737543025274</v>
      </c>
      <c r="M56" s="231">
        <v>16248</v>
      </c>
      <c r="N56" s="236">
        <f t="shared" ref="N56:N62" si="93">M56/$D56*100</f>
        <v>1.2081653776743708</v>
      </c>
      <c r="O56" s="231">
        <v>0</v>
      </c>
      <c r="P56" s="236">
        <f t="shared" ref="P56:P62" si="94">O56/$D56*100</f>
        <v>0</v>
      </c>
      <c r="Q56" s="231">
        <v>126258</v>
      </c>
      <c r="R56" s="236">
        <f t="shared" ref="R56:R62" si="95">Q56/$D56*100</f>
        <v>9.3882658945353725</v>
      </c>
      <c r="S56" s="231">
        <v>2993</v>
      </c>
      <c r="T56" s="379">
        <f t="shared" ref="T56:T62" si="96">S56/$D56*100</f>
        <v>0.22255286652999706</v>
      </c>
      <c r="U56" s="380">
        <v>79476</v>
      </c>
      <c r="V56" s="231">
        <f t="shared" ref="V56:V62" si="97">Z56+AB56+AD56+AF56+AH56+AJ56</f>
        <v>18353</v>
      </c>
      <c r="W56" s="236">
        <f t="shared" ref="W56:W62" si="98">V56/$U56*100</f>
        <v>23.092505913734964</v>
      </c>
      <c r="X56" s="231">
        <f t="shared" ref="X56:X62" si="99">Z56+AD56+AH56+AJ56</f>
        <v>4820</v>
      </c>
      <c r="Y56" s="236">
        <f t="shared" ref="Y56:Y62" si="100">X56/$U56*100</f>
        <v>6.0647239418189143</v>
      </c>
      <c r="Z56" s="231">
        <v>3143</v>
      </c>
      <c r="AA56" s="236">
        <f t="shared" ref="AA56:AA62" si="101">Z56/$U56*100</f>
        <v>3.9546529769993457</v>
      </c>
      <c r="AB56" s="231">
        <v>13533</v>
      </c>
      <c r="AC56" s="236">
        <f t="shared" ref="AC56:AC62" si="102">AB56/$U56*100</f>
        <v>17.027781971916049</v>
      </c>
      <c r="AD56" s="231">
        <v>1488</v>
      </c>
      <c r="AE56" s="236">
        <f t="shared" ref="AE56:AE62" si="103">AD56/$U56*100</f>
        <v>1.8722633247772913</v>
      </c>
      <c r="AF56" s="231">
        <v>0</v>
      </c>
      <c r="AG56" s="236">
        <f t="shared" ref="AG56:AG62" si="104">AF56/$U56*100</f>
        <v>0</v>
      </c>
      <c r="AH56" s="231">
        <v>0</v>
      </c>
      <c r="AI56" s="236">
        <f t="shared" ref="AI56:AI62" si="105">AH56/$U56*100</f>
        <v>0</v>
      </c>
      <c r="AJ56" s="231">
        <v>189</v>
      </c>
      <c r="AK56" s="236">
        <f t="shared" ref="AK56:AK62" si="106">AJ56/$U56*100</f>
        <v>0.23780764004227689</v>
      </c>
    </row>
    <row r="57" spans="1:37" s="10" customFormat="1" ht="14.15" customHeight="1">
      <c r="A57" s="912"/>
      <c r="B57" s="340">
        <v>19</v>
      </c>
      <c r="C57" s="340" t="s">
        <v>907</v>
      </c>
      <c r="D57" s="239">
        <v>132814</v>
      </c>
      <c r="E57" s="239">
        <f t="shared" si="87"/>
        <v>62158</v>
      </c>
      <c r="F57" s="244">
        <f t="shared" si="88"/>
        <v>46.800789073441052</v>
      </c>
      <c r="G57" s="239">
        <f t="shared" si="89"/>
        <v>19286</v>
      </c>
      <c r="H57" s="244">
        <f t="shared" si="90"/>
        <v>14.521059526857108</v>
      </c>
      <c r="I57" s="239">
        <v>1887</v>
      </c>
      <c r="J57" s="244">
        <f t="shared" si="91"/>
        <v>1.420783953498878</v>
      </c>
      <c r="K57" s="239">
        <v>42872</v>
      </c>
      <c r="L57" s="244">
        <f t="shared" si="92"/>
        <v>32.279729546583944</v>
      </c>
      <c r="M57" s="239">
        <v>5376</v>
      </c>
      <c r="N57" s="244">
        <f t="shared" si="93"/>
        <v>4.0477660487599199</v>
      </c>
      <c r="O57" s="239">
        <v>0</v>
      </c>
      <c r="P57" s="244">
        <f t="shared" si="94"/>
        <v>0</v>
      </c>
      <c r="Q57" s="239">
        <v>12023</v>
      </c>
      <c r="R57" s="244">
        <f t="shared" si="95"/>
        <v>9.0525095245983103</v>
      </c>
      <c r="S57" s="239">
        <v>0</v>
      </c>
      <c r="T57" s="381">
        <f t="shared" si="96"/>
        <v>0</v>
      </c>
      <c r="U57" s="382">
        <v>14555</v>
      </c>
      <c r="V57" s="239">
        <f t="shared" si="97"/>
        <v>7875</v>
      </c>
      <c r="W57" s="244">
        <f t="shared" si="98"/>
        <v>54.105118515973892</v>
      </c>
      <c r="X57" s="239">
        <f t="shared" si="99"/>
        <v>7263</v>
      </c>
      <c r="Y57" s="244">
        <f t="shared" si="100"/>
        <v>49.900377877018208</v>
      </c>
      <c r="Z57" s="239">
        <v>1887</v>
      </c>
      <c r="AA57" s="244">
        <f t="shared" si="101"/>
        <v>12.964616970113363</v>
      </c>
      <c r="AB57" s="239">
        <v>612</v>
      </c>
      <c r="AC57" s="244">
        <f t="shared" si="102"/>
        <v>4.2047406389556858</v>
      </c>
      <c r="AD57" s="239">
        <v>5376</v>
      </c>
      <c r="AE57" s="244">
        <f t="shared" si="103"/>
        <v>36.935760906904839</v>
      </c>
      <c r="AF57" s="239">
        <v>0</v>
      </c>
      <c r="AG57" s="244">
        <f t="shared" si="104"/>
        <v>0</v>
      </c>
      <c r="AH57" s="239">
        <v>0</v>
      </c>
      <c r="AI57" s="244">
        <f t="shared" si="105"/>
        <v>0</v>
      </c>
      <c r="AJ57" s="239">
        <v>0</v>
      </c>
      <c r="AK57" s="244">
        <f t="shared" si="106"/>
        <v>0</v>
      </c>
    </row>
    <row r="58" spans="1:37" s="10" customFormat="1" ht="14.15" customHeight="1">
      <c r="A58" s="912"/>
      <c r="B58" s="340">
        <v>41</v>
      </c>
      <c r="C58" s="340" t="s">
        <v>908</v>
      </c>
      <c r="D58" s="239">
        <v>228899</v>
      </c>
      <c r="E58" s="239">
        <f t="shared" si="87"/>
        <v>149907</v>
      </c>
      <c r="F58" s="244">
        <f>E58/$D58*100</f>
        <v>65.490456489543419</v>
      </c>
      <c r="G58" s="239">
        <f t="shared" si="89"/>
        <v>55760</v>
      </c>
      <c r="H58" s="244">
        <f>G58/$D58*100</f>
        <v>24.360088947527075</v>
      </c>
      <c r="I58" s="239">
        <v>15168</v>
      </c>
      <c r="J58" s="244">
        <f>I58/$D58*100</f>
        <v>6.6265033923258736</v>
      </c>
      <c r="K58" s="239">
        <v>94147</v>
      </c>
      <c r="L58" s="244">
        <f>K58/$D58*100</f>
        <v>41.130367542016351</v>
      </c>
      <c r="M58" s="239">
        <v>829</v>
      </c>
      <c r="N58" s="244">
        <f>M58/$D58*100</f>
        <v>0.3621684673152788</v>
      </c>
      <c r="O58" s="239">
        <v>0</v>
      </c>
      <c r="P58" s="244">
        <f>O58/$D58*100</f>
        <v>0</v>
      </c>
      <c r="Q58" s="239">
        <v>39232</v>
      </c>
      <c r="R58" s="244">
        <f>Q58/$D58*100</f>
        <v>17.139437044285906</v>
      </c>
      <c r="S58" s="239">
        <v>531</v>
      </c>
      <c r="T58" s="381">
        <f>S58/$D58*100</f>
        <v>0.23198004360001573</v>
      </c>
      <c r="U58" s="382">
        <v>43814</v>
      </c>
      <c r="V58" s="239">
        <f t="shared" si="97"/>
        <v>23635</v>
      </c>
      <c r="W58" s="244">
        <f>V58/$U58*100</f>
        <v>53.943944857807999</v>
      </c>
      <c r="X58" s="239">
        <f t="shared" si="99"/>
        <v>16566</v>
      </c>
      <c r="Y58" s="244">
        <f>X58/$U58*100</f>
        <v>37.809832473638558</v>
      </c>
      <c r="Z58" s="239">
        <v>14264</v>
      </c>
      <c r="AA58" s="244">
        <f>Z58/$U58*100</f>
        <v>32.555804080887384</v>
      </c>
      <c r="AB58" s="239">
        <v>7069</v>
      </c>
      <c r="AC58" s="244">
        <f>AB58/$U58*100</f>
        <v>16.134112384169445</v>
      </c>
      <c r="AD58" s="239">
        <v>65</v>
      </c>
      <c r="AE58" s="244">
        <f>AD58/$U58*100</f>
        <v>0.14835440726708357</v>
      </c>
      <c r="AF58" s="239">
        <v>0</v>
      </c>
      <c r="AG58" s="244">
        <f>AF58/$U58*100</f>
        <v>0</v>
      </c>
      <c r="AH58" s="239">
        <v>2070</v>
      </c>
      <c r="AI58" s="244">
        <f>AH58/$U58*100</f>
        <v>4.7245172775825077</v>
      </c>
      <c r="AJ58" s="239">
        <v>167</v>
      </c>
      <c r="AK58" s="244">
        <f>AJ58/$U58*100</f>
        <v>0.38115670790158396</v>
      </c>
    </row>
    <row r="59" spans="1:37" s="10" customFormat="1" ht="14.15" customHeight="1">
      <c r="A59" s="912"/>
      <c r="B59" s="340">
        <v>47</v>
      </c>
      <c r="C59" s="340" t="s">
        <v>751</v>
      </c>
      <c r="D59" s="239">
        <v>110943</v>
      </c>
      <c r="E59" s="239">
        <f t="shared" si="87"/>
        <v>32099</v>
      </c>
      <c r="F59" s="244">
        <f>E59/$D59*100</f>
        <v>28.93287544054154</v>
      </c>
      <c r="G59" s="239">
        <f t="shared" si="89"/>
        <v>26512</v>
      </c>
      <c r="H59" s="244">
        <f>G59/$D59*100</f>
        <v>23.896956094571088</v>
      </c>
      <c r="I59" s="239">
        <v>2530</v>
      </c>
      <c r="J59" s="244">
        <f>I59/$D59*100</f>
        <v>2.2804503213361818</v>
      </c>
      <c r="K59" s="239">
        <v>5587</v>
      </c>
      <c r="L59" s="244">
        <f>K59/$D59*100</f>
        <v>5.0359193459704539</v>
      </c>
      <c r="M59" s="239">
        <v>5892</v>
      </c>
      <c r="N59" s="244">
        <f>M59/$D59*100</f>
        <v>5.3108352937995189</v>
      </c>
      <c r="O59" s="239">
        <v>0</v>
      </c>
      <c r="P59" s="244">
        <f>O59/$D59*100</f>
        <v>0</v>
      </c>
      <c r="Q59" s="239">
        <v>17356</v>
      </c>
      <c r="R59" s="244">
        <f>Q59/$D59*100</f>
        <v>15.64406947711888</v>
      </c>
      <c r="S59" s="239">
        <v>734</v>
      </c>
      <c r="T59" s="381">
        <f>S59/$D59*100</f>
        <v>0.66160100231650487</v>
      </c>
      <c r="U59" s="382">
        <v>23829</v>
      </c>
      <c r="V59" s="239">
        <f t="shared" si="97"/>
        <v>13569</v>
      </c>
      <c r="W59" s="244">
        <f>V59/$U59*100</f>
        <v>56.943220445675436</v>
      </c>
      <c r="X59" s="239">
        <f t="shared" si="99"/>
        <v>12361</v>
      </c>
      <c r="Y59" s="244">
        <f>X59/$U59*100</f>
        <v>51.873767258382642</v>
      </c>
      <c r="Z59" s="239">
        <v>2200</v>
      </c>
      <c r="AA59" s="244">
        <f>Z59/$U59*100</f>
        <v>9.2324478576524402</v>
      </c>
      <c r="AB59" s="239">
        <v>1208</v>
      </c>
      <c r="AC59" s="244">
        <f>AB59/$U59*100</f>
        <v>5.0694531872927948</v>
      </c>
      <c r="AD59" s="239">
        <v>3521</v>
      </c>
      <c r="AE59" s="244">
        <f>AD59/$U59*100</f>
        <v>14.77611313945193</v>
      </c>
      <c r="AF59" s="239">
        <v>0</v>
      </c>
      <c r="AG59" s="244">
        <f>AF59/$U59*100</f>
        <v>0</v>
      </c>
      <c r="AH59" s="239">
        <v>6182</v>
      </c>
      <c r="AI59" s="244">
        <f>AH59/$U59*100</f>
        <v>25.943178480003361</v>
      </c>
      <c r="AJ59" s="239">
        <v>458</v>
      </c>
      <c r="AK59" s="244">
        <f>AJ59/$U59*100</f>
        <v>1.9220277812749171</v>
      </c>
    </row>
    <row r="60" spans="1:37" s="10" customFormat="1" ht="14.15" customHeight="1">
      <c r="A60" s="912"/>
      <c r="B60" s="340">
        <v>46</v>
      </c>
      <c r="C60" s="340" t="s">
        <v>909</v>
      </c>
      <c r="D60" s="239">
        <v>636498</v>
      </c>
      <c r="E60" s="239">
        <f t="shared" si="87"/>
        <v>331751</v>
      </c>
      <c r="F60" s="244">
        <f t="shared" si="88"/>
        <v>52.12129496086397</v>
      </c>
      <c r="G60" s="239">
        <f t="shared" si="89"/>
        <v>63135</v>
      </c>
      <c r="H60" s="244">
        <f t="shared" si="90"/>
        <v>9.9191199343909968</v>
      </c>
      <c r="I60" s="239">
        <v>7823</v>
      </c>
      <c r="J60" s="244">
        <f t="shared" si="91"/>
        <v>1.2290690622751368</v>
      </c>
      <c r="K60" s="239">
        <v>268616</v>
      </c>
      <c r="L60" s="244">
        <f t="shared" si="92"/>
        <v>42.202175026472979</v>
      </c>
      <c r="M60" s="239">
        <v>0</v>
      </c>
      <c r="N60" s="244">
        <f t="shared" si="93"/>
        <v>0</v>
      </c>
      <c r="O60" s="239">
        <v>0</v>
      </c>
      <c r="P60" s="244">
        <f t="shared" si="94"/>
        <v>0</v>
      </c>
      <c r="Q60" s="239">
        <v>55071</v>
      </c>
      <c r="R60" s="244">
        <f t="shared" si="95"/>
        <v>8.6521874381380623</v>
      </c>
      <c r="S60" s="239">
        <v>241</v>
      </c>
      <c r="T60" s="381">
        <f t="shared" si="96"/>
        <v>3.7863433977797262E-2</v>
      </c>
      <c r="U60" s="382">
        <v>119152</v>
      </c>
      <c r="V60" s="239">
        <f t="shared" si="97"/>
        <v>69153</v>
      </c>
      <c r="W60" s="244">
        <f t="shared" si="98"/>
        <v>58.037632603733044</v>
      </c>
      <c r="X60" s="239">
        <f t="shared" si="99"/>
        <v>42540</v>
      </c>
      <c r="Y60" s="244">
        <f t="shared" si="100"/>
        <v>35.702296226668459</v>
      </c>
      <c r="Z60" s="239">
        <v>4936</v>
      </c>
      <c r="AA60" s="244">
        <f t="shared" si="101"/>
        <v>4.1426077615147037</v>
      </c>
      <c r="AB60" s="239">
        <v>26613</v>
      </c>
      <c r="AC60" s="244">
        <f t="shared" si="102"/>
        <v>22.335336377064589</v>
      </c>
      <c r="AD60" s="239">
        <v>0</v>
      </c>
      <c r="AE60" s="244">
        <f t="shared" si="103"/>
        <v>0</v>
      </c>
      <c r="AF60" s="239">
        <v>0</v>
      </c>
      <c r="AG60" s="244">
        <f t="shared" si="104"/>
        <v>0</v>
      </c>
      <c r="AH60" s="239">
        <v>37604</v>
      </c>
      <c r="AI60" s="244">
        <f t="shared" si="105"/>
        <v>31.559688465153751</v>
      </c>
      <c r="AJ60" s="239">
        <v>0</v>
      </c>
      <c r="AK60" s="244">
        <f t="shared" si="106"/>
        <v>0</v>
      </c>
    </row>
    <row r="61" spans="1:37" s="10" customFormat="1" ht="14.15" customHeight="1">
      <c r="A61" s="912"/>
      <c r="B61" s="239">
        <v>89</v>
      </c>
      <c r="C61" s="239" t="s">
        <v>753</v>
      </c>
      <c r="D61" s="281">
        <v>1216580</v>
      </c>
      <c r="E61" s="239">
        <f t="shared" si="87"/>
        <v>688405</v>
      </c>
      <c r="F61" s="244">
        <f t="shared" si="88"/>
        <v>56.585263607818639</v>
      </c>
      <c r="G61" s="239">
        <f t="shared" si="89"/>
        <v>136743</v>
      </c>
      <c r="H61" s="244">
        <f t="shared" si="90"/>
        <v>11.239951338999491</v>
      </c>
      <c r="I61" s="281">
        <v>40795</v>
      </c>
      <c r="J61" s="244">
        <f t="shared" si="91"/>
        <v>3.3532525604563617</v>
      </c>
      <c r="K61" s="281">
        <v>513045</v>
      </c>
      <c r="L61" s="244">
        <f t="shared" si="92"/>
        <v>42.171086159562051</v>
      </c>
      <c r="M61" s="281">
        <v>22539</v>
      </c>
      <c r="N61" s="244">
        <f t="shared" si="93"/>
        <v>1.8526525177135906</v>
      </c>
      <c r="O61" s="281">
        <v>38617</v>
      </c>
      <c r="P61" s="244">
        <f t="shared" si="94"/>
        <v>3.174226109257098</v>
      </c>
      <c r="Q61" s="281">
        <v>72291</v>
      </c>
      <c r="R61" s="244">
        <f t="shared" si="95"/>
        <v>5.9421493037860227</v>
      </c>
      <c r="S61" s="281">
        <v>1118</v>
      </c>
      <c r="T61" s="381">
        <f t="shared" si="96"/>
        <v>9.1896957043515429E-2</v>
      </c>
      <c r="U61" s="392">
        <v>88031</v>
      </c>
      <c r="V61" s="239">
        <f t="shared" si="97"/>
        <v>62761</v>
      </c>
      <c r="W61" s="244">
        <f t="shared" si="98"/>
        <v>71.294203178425789</v>
      </c>
      <c r="X61" s="239">
        <f t="shared" si="99"/>
        <v>42643</v>
      </c>
      <c r="Y61" s="244">
        <f t="shared" si="100"/>
        <v>48.440890140973067</v>
      </c>
      <c r="Z61" s="281">
        <v>23913</v>
      </c>
      <c r="AA61" s="244">
        <f t="shared" si="101"/>
        <v>27.164294396292217</v>
      </c>
      <c r="AB61" s="281">
        <v>20118</v>
      </c>
      <c r="AC61" s="244">
        <f t="shared" si="102"/>
        <v>22.853313037452715</v>
      </c>
      <c r="AD61" s="281">
        <v>14651</v>
      </c>
      <c r="AE61" s="244">
        <f t="shared" si="103"/>
        <v>16.643000761095522</v>
      </c>
      <c r="AF61" s="281">
        <v>0</v>
      </c>
      <c r="AG61" s="244">
        <f t="shared" si="104"/>
        <v>0</v>
      </c>
      <c r="AH61" s="281">
        <v>4070</v>
      </c>
      <c r="AI61" s="244">
        <f t="shared" si="105"/>
        <v>4.6233713123785947</v>
      </c>
      <c r="AJ61" s="281">
        <v>9</v>
      </c>
      <c r="AK61" s="244">
        <f t="shared" si="106"/>
        <v>1.0223671206733991E-2</v>
      </c>
    </row>
    <row r="62" spans="1:37" s="10" customFormat="1" ht="14.15" customHeight="1" thickBot="1">
      <c r="A62" s="912"/>
      <c r="B62" s="247">
        <v>32</v>
      </c>
      <c r="C62" s="247" t="s">
        <v>754</v>
      </c>
      <c r="D62" s="247">
        <v>77931</v>
      </c>
      <c r="E62" s="239">
        <f t="shared" si="87"/>
        <v>16016</v>
      </c>
      <c r="F62" s="251">
        <f t="shared" si="88"/>
        <v>20.551513518368814</v>
      </c>
      <c r="G62" s="239">
        <f t="shared" si="89"/>
        <v>2590</v>
      </c>
      <c r="H62" s="251">
        <f t="shared" si="90"/>
        <v>3.3234527979879633</v>
      </c>
      <c r="I62" s="247">
        <v>0</v>
      </c>
      <c r="J62" s="251">
        <f t="shared" si="91"/>
        <v>0</v>
      </c>
      <c r="K62" s="247">
        <v>13426</v>
      </c>
      <c r="L62" s="251">
        <f t="shared" si="92"/>
        <v>17.228060720380849</v>
      </c>
      <c r="M62" s="247">
        <v>0</v>
      </c>
      <c r="N62" s="251">
        <f t="shared" si="93"/>
        <v>0</v>
      </c>
      <c r="O62" s="247">
        <v>0</v>
      </c>
      <c r="P62" s="251">
        <f t="shared" si="94"/>
        <v>0</v>
      </c>
      <c r="Q62" s="247">
        <v>2590</v>
      </c>
      <c r="R62" s="251">
        <f t="shared" si="95"/>
        <v>3.3234527979879633</v>
      </c>
      <c r="S62" s="247">
        <v>0</v>
      </c>
      <c r="T62" s="383">
        <f t="shared" si="96"/>
        <v>0</v>
      </c>
      <c r="U62" s="384">
        <v>12570</v>
      </c>
      <c r="V62" s="239">
        <f t="shared" si="97"/>
        <v>6241</v>
      </c>
      <c r="W62" s="251">
        <f t="shared" si="98"/>
        <v>49.64996022275259</v>
      </c>
      <c r="X62" s="239">
        <f t="shared" si="99"/>
        <v>0</v>
      </c>
      <c r="Y62" s="251">
        <f t="shared" si="100"/>
        <v>0</v>
      </c>
      <c r="Z62" s="247">
        <v>0</v>
      </c>
      <c r="AA62" s="251">
        <f t="shared" si="101"/>
        <v>0</v>
      </c>
      <c r="AB62" s="247">
        <v>6241</v>
      </c>
      <c r="AC62" s="251">
        <f t="shared" si="102"/>
        <v>49.64996022275259</v>
      </c>
      <c r="AD62" s="247">
        <v>0</v>
      </c>
      <c r="AE62" s="251">
        <f t="shared" si="103"/>
        <v>0</v>
      </c>
      <c r="AF62" s="247">
        <v>0</v>
      </c>
      <c r="AG62" s="251">
        <f t="shared" si="104"/>
        <v>0</v>
      </c>
      <c r="AH62" s="247">
        <v>0</v>
      </c>
      <c r="AI62" s="251">
        <f t="shared" si="105"/>
        <v>0</v>
      </c>
      <c r="AJ62" s="247">
        <v>0</v>
      </c>
      <c r="AK62" s="251">
        <f t="shared" si="106"/>
        <v>0</v>
      </c>
    </row>
    <row r="63" spans="1:37" s="343" customFormat="1" ht="14.15" customHeight="1" thickTop="1">
      <c r="A63" s="912"/>
      <c r="B63" s="252"/>
      <c r="C63" s="385" t="s">
        <v>34</v>
      </c>
      <c r="D63" s="259">
        <f>SUM(D56:D62)</f>
        <v>3748514</v>
      </c>
      <c r="E63" s="259">
        <f>SUM(E56:E62)</f>
        <v>1544844</v>
      </c>
      <c r="F63" s="261">
        <f>+ROUND(E63/$D63*100,1)</f>
        <v>41.2</v>
      </c>
      <c r="G63" s="259">
        <f>SUM(G56:G62)</f>
        <v>461908</v>
      </c>
      <c r="H63" s="261">
        <f>+ROUND(G63/$D63*100,1)</f>
        <v>12.3</v>
      </c>
      <c r="I63" s="259">
        <f>SUM(I56:I62)</f>
        <v>80586</v>
      </c>
      <c r="J63" s="261">
        <f>+ROUND(I63/$D63*100,1)</f>
        <v>2.1</v>
      </c>
      <c r="K63" s="259">
        <f>SUM(K56:K62)</f>
        <v>1044319</v>
      </c>
      <c r="L63" s="261">
        <f>+ROUND(K63/$D63*100,1)</f>
        <v>27.9</v>
      </c>
      <c r="M63" s="259">
        <f>SUM(M56:M62)</f>
        <v>50884</v>
      </c>
      <c r="N63" s="261">
        <f>+ROUND(M63/$D63*100,1)</f>
        <v>1.4</v>
      </c>
      <c r="O63" s="259">
        <f>SUM(O56:O62)</f>
        <v>38617</v>
      </c>
      <c r="P63" s="261">
        <f>+ROUND(O63/$D63*100,1)</f>
        <v>1</v>
      </c>
      <c r="Q63" s="259">
        <f>SUM(Q56:Q62)</f>
        <v>324821</v>
      </c>
      <c r="R63" s="261">
        <f>+ROUND(Q63/$D63*100,1)</f>
        <v>8.6999999999999993</v>
      </c>
      <c r="S63" s="259">
        <f>SUM(S56:S62)</f>
        <v>5617</v>
      </c>
      <c r="T63" s="386">
        <f>+ROUND(S63/$D63*100,1)</f>
        <v>0.1</v>
      </c>
      <c r="U63" s="259">
        <f>SUM(U56:U62)</f>
        <v>381427</v>
      </c>
      <c r="V63" s="259">
        <f>SUM(V56:V62)</f>
        <v>201587</v>
      </c>
      <c r="W63" s="261">
        <f>+ROUND(V63/$U63*100,1)</f>
        <v>52.9</v>
      </c>
      <c r="X63" s="259">
        <f>SUM(X56:X62)</f>
        <v>126193</v>
      </c>
      <c r="Y63" s="261">
        <f>+ROUND(X63/$U63*100,1)</f>
        <v>33.1</v>
      </c>
      <c r="Z63" s="259">
        <f>SUM(Z56:Z62)</f>
        <v>50343</v>
      </c>
      <c r="AA63" s="261">
        <f>+ROUND(Z63/$U63*100,1)</f>
        <v>13.2</v>
      </c>
      <c r="AB63" s="259">
        <f>SUM(AB56:AB62)</f>
        <v>75394</v>
      </c>
      <c r="AC63" s="261">
        <f>+ROUND(AB63/$U63*100,1)</f>
        <v>19.8</v>
      </c>
      <c r="AD63" s="259">
        <f>SUM(AD56:AD62)</f>
        <v>25101</v>
      </c>
      <c r="AE63" s="261">
        <f>+ROUND(AD63/$U63*100,1)</f>
        <v>6.6</v>
      </c>
      <c r="AF63" s="259">
        <f>SUM(AF56:AF62)</f>
        <v>0</v>
      </c>
      <c r="AG63" s="261">
        <f>+ROUND(AF63/$U63*100,1)</f>
        <v>0</v>
      </c>
      <c r="AH63" s="259">
        <f>SUM(AH56:AH62)</f>
        <v>49926</v>
      </c>
      <c r="AI63" s="261">
        <f>+ROUND(AH63/$U63*100,1)</f>
        <v>13.1</v>
      </c>
      <c r="AJ63" s="259">
        <f>SUM(AJ56:AJ62)</f>
        <v>823</v>
      </c>
      <c r="AK63" s="261">
        <f>+ROUND(AJ63/$U63*100,1)</f>
        <v>0.2</v>
      </c>
    </row>
    <row r="64" spans="1:37" s="343" customFormat="1" ht="14.15" customHeight="1">
      <c r="A64" s="912"/>
      <c r="B64" s="263"/>
      <c r="C64" s="357"/>
      <c r="D64" s="270"/>
      <c r="E64" s="270"/>
      <c r="F64" s="272"/>
      <c r="G64" s="270"/>
      <c r="H64" s="272"/>
      <c r="I64" s="270"/>
      <c r="J64" s="272"/>
      <c r="K64" s="270"/>
      <c r="L64" s="272"/>
      <c r="M64" s="270"/>
      <c r="N64" s="272"/>
      <c r="O64" s="270"/>
      <c r="P64" s="272"/>
      <c r="Q64" s="270"/>
      <c r="R64" s="272"/>
      <c r="S64" s="270"/>
      <c r="T64" s="387"/>
      <c r="U64" s="388"/>
      <c r="V64" s="270"/>
      <c r="W64" s="272"/>
      <c r="X64" s="270"/>
      <c r="Y64" s="272"/>
      <c r="Z64" s="270"/>
      <c r="AA64" s="272"/>
      <c r="AB64" s="270"/>
      <c r="AC64" s="272"/>
      <c r="AD64" s="270"/>
      <c r="AE64" s="272"/>
      <c r="AF64" s="270"/>
      <c r="AG64" s="272"/>
      <c r="AH64" s="270"/>
      <c r="AI64" s="272"/>
      <c r="AJ64" s="270"/>
      <c r="AK64" s="272"/>
    </row>
    <row r="65" spans="1:37" s="10" customFormat="1" ht="14.15" customHeight="1">
      <c r="A65" s="913" t="s">
        <v>520</v>
      </c>
      <c r="B65" s="339">
        <v>9</v>
      </c>
      <c r="C65" s="339" t="s">
        <v>755</v>
      </c>
      <c r="D65" s="231">
        <v>359640</v>
      </c>
      <c r="E65" s="239">
        <f t="shared" ref="E65:E68" si="107">I65+K65+M65+O65+Q65+S65</f>
        <v>27495</v>
      </c>
      <c r="F65" s="236">
        <f>E65/$D65*100</f>
        <v>7.6451451451451451</v>
      </c>
      <c r="G65" s="231">
        <f t="shared" ref="G65:G68" si="108">I65+M65+Q65+S65</f>
        <v>27495</v>
      </c>
      <c r="H65" s="236">
        <f>G65/$D65*100</f>
        <v>7.6451451451451451</v>
      </c>
      <c r="I65" s="231">
        <v>16237</v>
      </c>
      <c r="J65" s="236">
        <f>I65/$D65*100</f>
        <v>4.514792570348126</v>
      </c>
      <c r="K65" s="231">
        <v>0</v>
      </c>
      <c r="L65" s="236">
        <f>K65/$D65*100</f>
        <v>0</v>
      </c>
      <c r="M65" s="231">
        <v>0</v>
      </c>
      <c r="N65" s="236">
        <f>M65/$D65*100</f>
        <v>0</v>
      </c>
      <c r="O65" s="231">
        <v>0</v>
      </c>
      <c r="P65" s="236">
        <f>O65/$D65*100</f>
        <v>0</v>
      </c>
      <c r="Q65" s="231">
        <v>11258</v>
      </c>
      <c r="R65" s="236">
        <f>Q65/$D65*100</f>
        <v>3.1303525747970191</v>
      </c>
      <c r="S65" s="231">
        <v>0</v>
      </c>
      <c r="T65" s="379">
        <f>S65/$D65*100</f>
        <v>0</v>
      </c>
      <c r="U65" s="380">
        <v>59669</v>
      </c>
      <c r="V65" s="239">
        <f t="shared" ref="V65:V68" si="109">Z65+AB65+AD65+AF65+AH65+AJ65</f>
        <v>8132</v>
      </c>
      <c r="W65" s="236">
        <f>V65/$U65*100</f>
        <v>13.628517320551712</v>
      </c>
      <c r="X65" s="239">
        <f t="shared" ref="X65:X68" si="110">Z65+AD65+AH65+AJ65</f>
        <v>8132</v>
      </c>
      <c r="Y65" s="236">
        <f>X65/$U65*100</f>
        <v>13.628517320551712</v>
      </c>
      <c r="Z65" s="231">
        <v>7482</v>
      </c>
      <c r="AA65" s="236">
        <f>Z65/$U65*100</f>
        <v>12.539174445692067</v>
      </c>
      <c r="AB65" s="231">
        <v>0</v>
      </c>
      <c r="AC65" s="236">
        <f>AB65/$U65*100</f>
        <v>0</v>
      </c>
      <c r="AD65" s="231">
        <v>0</v>
      </c>
      <c r="AE65" s="236">
        <f>AD65/$U65*100</f>
        <v>0</v>
      </c>
      <c r="AF65" s="231">
        <v>0</v>
      </c>
      <c r="AG65" s="236">
        <f>AF65/$U65*100</f>
        <v>0</v>
      </c>
      <c r="AH65" s="231">
        <v>650</v>
      </c>
      <c r="AI65" s="236">
        <f>AH65/$U65*100</f>
        <v>1.0893428748596423</v>
      </c>
      <c r="AJ65" s="231">
        <v>0</v>
      </c>
      <c r="AK65" s="236">
        <f>AJ65/$U65*100</f>
        <v>0</v>
      </c>
    </row>
    <row r="66" spans="1:37" s="10" customFormat="1" ht="14.15" customHeight="1">
      <c r="A66" s="913"/>
      <c r="B66" s="340">
        <v>22</v>
      </c>
      <c r="C66" s="340" t="s">
        <v>757</v>
      </c>
      <c r="D66" s="239">
        <v>94801</v>
      </c>
      <c r="E66" s="239">
        <f t="shared" si="107"/>
        <v>11215</v>
      </c>
      <c r="F66" s="244">
        <f>E66/$D66*100</f>
        <v>11.830043986877776</v>
      </c>
      <c r="G66" s="239">
        <f t="shared" si="108"/>
        <v>11215</v>
      </c>
      <c r="H66" s="244">
        <f>G66/$D66*100</f>
        <v>11.830043986877776</v>
      </c>
      <c r="I66" s="239">
        <v>6633</v>
      </c>
      <c r="J66" s="244">
        <f>I66/$D66*100</f>
        <v>6.9967616375354691</v>
      </c>
      <c r="K66" s="239">
        <v>0</v>
      </c>
      <c r="L66" s="244">
        <f>K66/$D66*100</f>
        <v>0</v>
      </c>
      <c r="M66" s="239">
        <v>83</v>
      </c>
      <c r="N66" s="244">
        <f>M66/$D66*100</f>
        <v>8.7551819073638459E-2</v>
      </c>
      <c r="O66" s="239">
        <v>0</v>
      </c>
      <c r="P66" s="244">
        <f>O66/$D66*100</f>
        <v>0</v>
      </c>
      <c r="Q66" s="239">
        <v>4499</v>
      </c>
      <c r="R66" s="244">
        <f>Q66/$D66*100</f>
        <v>4.7457305302686681</v>
      </c>
      <c r="S66" s="239">
        <v>0</v>
      </c>
      <c r="T66" s="381">
        <f>S66/$D66*100</f>
        <v>0</v>
      </c>
      <c r="U66" s="382">
        <v>12902</v>
      </c>
      <c r="V66" s="239">
        <f t="shared" si="109"/>
        <v>9036</v>
      </c>
      <c r="W66" s="244">
        <f>V66/$U66*100</f>
        <v>70.035653387071775</v>
      </c>
      <c r="X66" s="239">
        <f t="shared" si="110"/>
        <v>9036</v>
      </c>
      <c r="Y66" s="244">
        <f>X66/$U66*100</f>
        <v>70.035653387071775</v>
      </c>
      <c r="Z66" s="239">
        <v>6633</v>
      </c>
      <c r="AA66" s="244">
        <f>Z66/$U66*100</f>
        <v>51.410634010230972</v>
      </c>
      <c r="AB66" s="239">
        <v>0</v>
      </c>
      <c r="AC66" s="244">
        <f>AB66/$U66*100</f>
        <v>0</v>
      </c>
      <c r="AD66" s="239">
        <v>83</v>
      </c>
      <c r="AE66" s="244">
        <f>AD66/$U66*100</f>
        <v>0.64331111455588286</v>
      </c>
      <c r="AF66" s="239">
        <v>0</v>
      </c>
      <c r="AG66" s="244">
        <f>AF66/$U66*100</f>
        <v>0</v>
      </c>
      <c r="AH66" s="239">
        <v>2320</v>
      </c>
      <c r="AI66" s="244">
        <f>AH66/$U66*100</f>
        <v>17.981708262284918</v>
      </c>
      <c r="AJ66" s="239">
        <v>0</v>
      </c>
      <c r="AK66" s="244">
        <f>AJ66/$U66*100</f>
        <v>0</v>
      </c>
    </row>
    <row r="67" spans="1:37" s="10" customFormat="1" ht="14.15" customHeight="1">
      <c r="A67" s="913"/>
      <c r="B67" s="340">
        <v>74</v>
      </c>
      <c r="C67" s="340" t="s">
        <v>758</v>
      </c>
      <c r="D67" s="239">
        <v>127959</v>
      </c>
      <c r="E67" s="239">
        <f t="shared" si="107"/>
        <v>27169</v>
      </c>
      <c r="F67" s="244">
        <f>E67/$D67*100</f>
        <v>21.232582311521657</v>
      </c>
      <c r="G67" s="239">
        <f t="shared" si="108"/>
        <v>2915</v>
      </c>
      <c r="H67" s="244">
        <f>G67/$D67*100</f>
        <v>2.2780734454004801</v>
      </c>
      <c r="I67" s="239">
        <v>200</v>
      </c>
      <c r="J67" s="244">
        <f>I67/$D67*100</f>
        <v>0.15630006486452691</v>
      </c>
      <c r="K67" s="239">
        <v>24254</v>
      </c>
      <c r="L67" s="244">
        <f>K67/$D67*100</f>
        <v>18.954508866121181</v>
      </c>
      <c r="M67" s="239">
        <v>115</v>
      </c>
      <c r="N67" s="244">
        <f>M67/$D67*100</f>
        <v>8.9872537297102983E-2</v>
      </c>
      <c r="O67" s="239">
        <v>0</v>
      </c>
      <c r="P67" s="244">
        <f>O67/$D67*100</f>
        <v>0</v>
      </c>
      <c r="Q67" s="239">
        <v>2600</v>
      </c>
      <c r="R67" s="244">
        <f>Q67/$D67*100</f>
        <v>2.0319008432388501</v>
      </c>
      <c r="S67" s="239">
        <v>0</v>
      </c>
      <c r="T67" s="381">
        <f>S67/$D67*100</f>
        <v>0</v>
      </c>
      <c r="U67" s="382">
        <v>5082</v>
      </c>
      <c r="V67" s="239">
        <f t="shared" si="109"/>
        <v>5079</v>
      </c>
      <c r="W67" s="244">
        <f>V67/$U67*100</f>
        <v>99.940968122786302</v>
      </c>
      <c r="X67" s="239">
        <f t="shared" si="110"/>
        <v>200</v>
      </c>
      <c r="Y67" s="244">
        <f>X67/$U67*100</f>
        <v>3.935458480913026</v>
      </c>
      <c r="Z67" s="239">
        <v>200</v>
      </c>
      <c r="AA67" s="244">
        <f>Z67/$U67*100</f>
        <v>3.935458480913026</v>
      </c>
      <c r="AB67" s="239">
        <v>4879</v>
      </c>
      <c r="AC67" s="244">
        <f>AB67/$U67*100</f>
        <v>96.005509641873275</v>
      </c>
      <c r="AD67" s="239">
        <v>0</v>
      </c>
      <c r="AE67" s="244">
        <f>AD67/$U67*100</f>
        <v>0</v>
      </c>
      <c r="AF67" s="239">
        <v>0</v>
      </c>
      <c r="AG67" s="244">
        <f>AF67/$U67*100</f>
        <v>0</v>
      </c>
      <c r="AH67" s="239">
        <v>0</v>
      </c>
      <c r="AI67" s="244">
        <f>AH67/$U67*100</f>
        <v>0</v>
      </c>
      <c r="AJ67" s="239">
        <v>0</v>
      </c>
      <c r="AK67" s="244">
        <f>AJ67/$U67*100</f>
        <v>0</v>
      </c>
    </row>
    <row r="68" spans="1:37" s="10" customFormat="1" ht="14.15" customHeight="1" thickBot="1">
      <c r="A68" s="913"/>
      <c r="B68" s="342">
        <v>63</v>
      </c>
      <c r="C68" s="342" t="s">
        <v>759</v>
      </c>
      <c r="D68" s="247">
        <v>202334</v>
      </c>
      <c r="E68" s="247">
        <f t="shared" si="107"/>
        <v>55125</v>
      </c>
      <c r="F68" s="251">
        <f>E68/$D68*100</f>
        <v>27.244556031116868</v>
      </c>
      <c r="G68" s="247">
        <f t="shared" si="108"/>
        <v>55125</v>
      </c>
      <c r="H68" s="251">
        <f>G68/$D68*100</f>
        <v>27.244556031116868</v>
      </c>
      <c r="I68" s="247">
        <v>4850</v>
      </c>
      <c r="J68" s="251">
        <f>I68/$D68*100</f>
        <v>2.3970266984293298</v>
      </c>
      <c r="K68" s="247">
        <v>0</v>
      </c>
      <c r="L68" s="251">
        <f>K68/$D68*100</f>
        <v>0</v>
      </c>
      <c r="M68" s="247">
        <v>13179</v>
      </c>
      <c r="N68" s="251">
        <f>M68/$D68*100</f>
        <v>6.5134875997113681</v>
      </c>
      <c r="O68" s="247">
        <v>0</v>
      </c>
      <c r="P68" s="251">
        <f>O68/$D68*100</f>
        <v>0</v>
      </c>
      <c r="Q68" s="247">
        <v>37061</v>
      </c>
      <c r="R68" s="251">
        <f>Q68/$D68*100</f>
        <v>18.316743602162759</v>
      </c>
      <c r="S68" s="247">
        <v>35</v>
      </c>
      <c r="T68" s="383">
        <f>S68/$D68*100</f>
        <v>1.7298130813407534E-2</v>
      </c>
      <c r="U68" s="384">
        <v>23617</v>
      </c>
      <c r="V68" s="247">
        <f t="shared" si="109"/>
        <v>13808</v>
      </c>
      <c r="W68" s="251">
        <f>V68/$U68*100</f>
        <v>58.466358978701784</v>
      </c>
      <c r="X68" s="247">
        <f t="shared" si="110"/>
        <v>13808</v>
      </c>
      <c r="Y68" s="251">
        <f>X68/$U68*100</f>
        <v>58.466358978701784</v>
      </c>
      <c r="Z68" s="247">
        <v>157</v>
      </c>
      <c r="AA68" s="251">
        <f>Z68/$U68*100</f>
        <v>0.66477537367150785</v>
      </c>
      <c r="AB68" s="247">
        <v>0</v>
      </c>
      <c r="AC68" s="251">
        <f>AB68/$U68*100</f>
        <v>0</v>
      </c>
      <c r="AD68" s="247">
        <v>13179</v>
      </c>
      <c r="AE68" s="251">
        <f>AD68/$U68*100</f>
        <v>55.803023245966884</v>
      </c>
      <c r="AF68" s="247">
        <v>0</v>
      </c>
      <c r="AG68" s="251">
        <f>AF68/$U68*100</f>
        <v>0</v>
      </c>
      <c r="AH68" s="247">
        <v>472</v>
      </c>
      <c r="AI68" s="251">
        <f>AH68/$U68*100</f>
        <v>1.9985603590633865</v>
      </c>
      <c r="AJ68" s="247">
        <v>0</v>
      </c>
      <c r="AK68" s="251">
        <f>AJ68/$U68*100</f>
        <v>0</v>
      </c>
    </row>
    <row r="69" spans="1:37" s="343" customFormat="1" ht="14.15" customHeight="1" thickTop="1">
      <c r="A69" s="913"/>
      <c r="B69" s="252"/>
      <c r="C69" s="385" t="s">
        <v>34</v>
      </c>
      <c r="D69" s="259">
        <f>SUM(D65:D68)</f>
        <v>784734</v>
      </c>
      <c r="E69" s="259">
        <f>SUM(E65:E68)</f>
        <v>121004</v>
      </c>
      <c r="F69" s="261">
        <f>+ROUND(E69/$D69*100,1)</f>
        <v>15.4</v>
      </c>
      <c r="G69" s="259">
        <f>SUM(G65:G68)</f>
        <v>96750</v>
      </c>
      <c r="H69" s="261">
        <f>+ROUND(G69/$D69*100,1)</f>
        <v>12.3</v>
      </c>
      <c r="I69" s="259">
        <f>SUM(I65:I68)</f>
        <v>27920</v>
      </c>
      <c r="J69" s="261">
        <f>+ROUND(I69/$D69*100,1)</f>
        <v>3.6</v>
      </c>
      <c r="K69" s="259">
        <f>SUM(K65:K68)</f>
        <v>24254</v>
      </c>
      <c r="L69" s="261">
        <f>+ROUND(K69/$D69*100,1)</f>
        <v>3.1</v>
      </c>
      <c r="M69" s="259">
        <f>SUM(M65:M68)</f>
        <v>13377</v>
      </c>
      <c r="N69" s="261">
        <f>+ROUND(M69/$D69*100,1)</f>
        <v>1.7</v>
      </c>
      <c r="O69" s="259">
        <f>SUM(O65:O68)</f>
        <v>0</v>
      </c>
      <c r="P69" s="261">
        <f>+ROUND(O69/$D69*100,1)</f>
        <v>0</v>
      </c>
      <c r="Q69" s="259">
        <f>SUM(Q65:Q68)</f>
        <v>55418</v>
      </c>
      <c r="R69" s="261">
        <f>+ROUND(Q69/$D69*100,1)</f>
        <v>7.1</v>
      </c>
      <c r="S69" s="259">
        <f>SUM(S65:S68)</f>
        <v>35</v>
      </c>
      <c r="T69" s="386">
        <f>+ROUND(S69/$D69*100,1)</f>
        <v>0</v>
      </c>
      <c r="U69" s="259">
        <f>SUM(U65:U68)</f>
        <v>101270</v>
      </c>
      <c r="V69" s="259">
        <f>SUM(V65:V68)</f>
        <v>36055</v>
      </c>
      <c r="W69" s="261">
        <f>+ROUND(V69/$U69*100,1)</f>
        <v>35.6</v>
      </c>
      <c r="X69" s="259">
        <f>SUM(X65:X68)</f>
        <v>31176</v>
      </c>
      <c r="Y69" s="261">
        <f>+ROUND(X69/$U69*100,1)</f>
        <v>30.8</v>
      </c>
      <c r="Z69" s="259">
        <f>SUM(Z65:Z68)</f>
        <v>14472</v>
      </c>
      <c r="AA69" s="261">
        <f>+ROUND(Z69/$U69*100,1)</f>
        <v>14.3</v>
      </c>
      <c r="AB69" s="259">
        <f>SUM(AB65:AB68)</f>
        <v>4879</v>
      </c>
      <c r="AC69" s="261">
        <f>+ROUND(AB69/$U69*100,1)</f>
        <v>4.8</v>
      </c>
      <c r="AD69" s="259">
        <f>SUM(AD65:AD68)</f>
        <v>13262</v>
      </c>
      <c r="AE69" s="261">
        <f>+ROUND(AD69/$U69*100,1)</f>
        <v>13.1</v>
      </c>
      <c r="AF69" s="259">
        <f>SUM(AF65:AF68)</f>
        <v>0</v>
      </c>
      <c r="AG69" s="261">
        <f>+ROUND(AF69/$U69*100,1)</f>
        <v>0</v>
      </c>
      <c r="AH69" s="259">
        <f>SUM(AH65:AH68)</f>
        <v>3442</v>
      </c>
      <c r="AI69" s="261">
        <f>+ROUND(AH69/$U69*100,1)</f>
        <v>3.4</v>
      </c>
      <c r="AJ69" s="259">
        <f>SUM(AJ65:AJ68)</f>
        <v>0</v>
      </c>
      <c r="AK69" s="261">
        <f>+ROUND(AJ69/$U69*100,1)</f>
        <v>0</v>
      </c>
    </row>
    <row r="70" spans="1:37" s="343" customFormat="1" ht="14.15" customHeight="1">
      <c r="A70" s="913"/>
      <c r="B70" s="263"/>
      <c r="C70" s="357"/>
      <c r="D70" s="270"/>
      <c r="E70" s="270"/>
      <c r="F70" s="272"/>
      <c r="G70" s="270"/>
      <c r="H70" s="272"/>
      <c r="I70" s="270"/>
      <c r="J70" s="272"/>
      <c r="K70" s="270"/>
      <c r="L70" s="272"/>
      <c r="M70" s="270"/>
      <c r="N70" s="272"/>
      <c r="O70" s="270"/>
      <c r="P70" s="272"/>
      <c r="Q70" s="270"/>
      <c r="R70" s="272"/>
      <c r="S70" s="270"/>
      <c r="T70" s="387"/>
      <c r="U70" s="388"/>
      <c r="V70" s="270"/>
      <c r="W70" s="272"/>
      <c r="X70" s="270"/>
      <c r="Y70" s="272"/>
      <c r="Z70" s="270"/>
      <c r="AA70" s="272"/>
      <c r="AB70" s="270"/>
      <c r="AC70" s="272"/>
      <c r="AD70" s="270"/>
      <c r="AE70" s="272"/>
      <c r="AF70" s="270"/>
      <c r="AG70" s="272"/>
      <c r="AH70" s="270"/>
      <c r="AI70" s="272"/>
      <c r="AJ70" s="270"/>
      <c r="AK70" s="272"/>
    </row>
    <row r="71" spans="1:37" s="10" customFormat="1" ht="14.15" customHeight="1">
      <c r="A71" s="912" t="s">
        <v>255</v>
      </c>
      <c r="B71" s="339">
        <v>57</v>
      </c>
      <c r="C71" s="339" t="s">
        <v>517</v>
      </c>
      <c r="D71" s="231">
        <v>1459981</v>
      </c>
      <c r="E71" s="231">
        <f t="shared" ref="E71:E79" si="111">I71+K71+M71+O71+Q71+S71</f>
        <v>1345709</v>
      </c>
      <c r="F71" s="236">
        <f t="shared" ref="F71:F79" si="112">E71/$D71*100</f>
        <v>92.173048827347742</v>
      </c>
      <c r="G71" s="231">
        <f t="shared" ref="G71:G79" si="113">I71+M71+Q71+S71</f>
        <v>267083</v>
      </c>
      <c r="H71" s="236">
        <f t="shared" ref="H71:H79" si="114">G71/$D71*100</f>
        <v>18.293594231705754</v>
      </c>
      <c r="I71" s="231">
        <v>83239</v>
      </c>
      <c r="J71" s="236">
        <f t="shared" ref="J71:J79" si="115">I71/$D71*100</f>
        <v>5.7013755658464049</v>
      </c>
      <c r="K71" s="231">
        <v>1078626</v>
      </c>
      <c r="L71" s="236">
        <f t="shared" ref="L71:L79" si="116">K71/$D71*100</f>
        <v>73.879454595642002</v>
      </c>
      <c r="M71" s="231">
        <v>35030</v>
      </c>
      <c r="N71" s="236">
        <f t="shared" ref="N71:N79" si="117">M71/$D71*100</f>
        <v>2.3993462928627154</v>
      </c>
      <c r="O71" s="231">
        <v>0</v>
      </c>
      <c r="P71" s="236">
        <f t="shared" ref="P71:P79" si="118">O71/$D71*100</f>
        <v>0</v>
      </c>
      <c r="Q71" s="231">
        <v>147991</v>
      </c>
      <c r="R71" s="236">
        <f t="shared" ref="R71:R79" si="119">Q71/$D71*100</f>
        <v>10.136501776392981</v>
      </c>
      <c r="S71" s="231">
        <v>823</v>
      </c>
      <c r="T71" s="379">
        <f t="shared" ref="T71:T79" si="120">S71/$D71*100</f>
        <v>5.6370596603654434E-2</v>
      </c>
      <c r="U71" s="380">
        <v>163348</v>
      </c>
      <c r="V71" s="231">
        <f t="shared" ref="V71:V79" si="121">Z71+AB71+AD71+AF71+AH71+AJ71</f>
        <v>152293</v>
      </c>
      <c r="W71" s="236">
        <f t="shared" ref="W71:W79" si="122">V71/$U71*100</f>
        <v>93.232240370252455</v>
      </c>
      <c r="X71" s="231">
        <f t="shared" ref="X71:X79" si="123">Z71+AD71+AH71+AJ71</f>
        <v>66258</v>
      </c>
      <c r="Y71" s="236">
        <f t="shared" ref="Y71:Y79" si="124">X71/$U71*100</f>
        <v>40.562480103827411</v>
      </c>
      <c r="Z71" s="231">
        <v>32101</v>
      </c>
      <c r="AA71" s="236">
        <f t="shared" ref="AA71:AA79" si="125">Z71/$U71*100</f>
        <v>19.651908808188654</v>
      </c>
      <c r="AB71" s="231">
        <v>86035</v>
      </c>
      <c r="AC71" s="236">
        <f t="shared" ref="AC71:AC79" si="126">AB71/$U71*100</f>
        <v>52.669760266425058</v>
      </c>
      <c r="AD71" s="231">
        <v>32544</v>
      </c>
      <c r="AE71" s="236">
        <f t="shared" ref="AE71:AE79" si="127">AD71/$U71*100</f>
        <v>19.923108945319196</v>
      </c>
      <c r="AF71" s="231">
        <v>0</v>
      </c>
      <c r="AG71" s="236">
        <f t="shared" ref="AG71:AG79" si="128">AF71/$U71*100</f>
        <v>0</v>
      </c>
      <c r="AH71" s="231">
        <v>1472</v>
      </c>
      <c r="AI71" s="236">
        <f t="shared" ref="AI71:AI79" si="129">AH71/$U71*100</f>
        <v>0.90114357078139917</v>
      </c>
      <c r="AJ71" s="231">
        <v>141</v>
      </c>
      <c r="AK71" s="236">
        <f t="shared" ref="AK71:AK79" si="130">AJ71/$U71*100</f>
        <v>8.6318779538163914E-2</v>
      </c>
    </row>
    <row r="72" spans="1:37" s="10" customFormat="1" ht="14.15" customHeight="1">
      <c r="A72" s="912"/>
      <c r="B72" s="340">
        <v>1</v>
      </c>
      <c r="C72" s="340" t="s">
        <v>760</v>
      </c>
      <c r="D72" s="239">
        <v>2468970</v>
      </c>
      <c r="E72" s="239">
        <f t="shared" si="111"/>
        <v>374452</v>
      </c>
      <c r="F72" s="244">
        <f t="shared" si="112"/>
        <v>15.166324418684715</v>
      </c>
      <c r="G72" s="239">
        <f t="shared" si="113"/>
        <v>374452</v>
      </c>
      <c r="H72" s="244">
        <f t="shared" si="114"/>
        <v>15.166324418684715</v>
      </c>
      <c r="I72" s="239">
        <v>158684</v>
      </c>
      <c r="J72" s="244">
        <f t="shared" si="115"/>
        <v>6.4271335820200326</v>
      </c>
      <c r="K72" s="239">
        <v>0</v>
      </c>
      <c r="L72" s="244">
        <f t="shared" si="116"/>
        <v>0</v>
      </c>
      <c r="M72" s="239">
        <v>73653</v>
      </c>
      <c r="N72" s="244">
        <f t="shared" si="117"/>
        <v>2.9831468183088496</v>
      </c>
      <c r="O72" s="239">
        <v>0</v>
      </c>
      <c r="P72" s="244">
        <f t="shared" si="118"/>
        <v>0</v>
      </c>
      <c r="Q72" s="239">
        <v>142115</v>
      </c>
      <c r="R72" s="244">
        <f t="shared" si="119"/>
        <v>5.7560440183558326</v>
      </c>
      <c r="S72" s="239">
        <v>0</v>
      </c>
      <c r="T72" s="381">
        <f t="shared" si="120"/>
        <v>0</v>
      </c>
      <c r="U72" s="382">
        <v>351901</v>
      </c>
      <c r="V72" s="239">
        <f t="shared" si="121"/>
        <v>149062</v>
      </c>
      <c r="W72" s="244">
        <f t="shared" si="122"/>
        <v>42.359072580072237</v>
      </c>
      <c r="X72" s="239">
        <f t="shared" si="123"/>
        <v>149062</v>
      </c>
      <c r="Y72" s="244">
        <f t="shared" si="124"/>
        <v>42.359072580072237</v>
      </c>
      <c r="Z72" s="239">
        <v>51161</v>
      </c>
      <c r="AA72" s="244">
        <f t="shared" si="125"/>
        <v>14.538463942983965</v>
      </c>
      <c r="AB72" s="239">
        <v>0</v>
      </c>
      <c r="AC72" s="244">
        <f t="shared" si="126"/>
        <v>0</v>
      </c>
      <c r="AD72" s="239">
        <v>46040</v>
      </c>
      <c r="AE72" s="244">
        <f t="shared" si="127"/>
        <v>13.083225111608094</v>
      </c>
      <c r="AF72" s="239">
        <v>0</v>
      </c>
      <c r="AG72" s="244">
        <f t="shared" si="128"/>
        <v>0</v>
      </c>
      <c r="AH72" s="239">
        <v>51861</v>
      </c>
      <c r="AI72" s="244">
        <f t="shared" si="129"/>
        <v>14.737383525480178</v>
      </c>
      <c r="AJ72" s="239">
        <v>0</v>
      </c>
      <c r="AK72" s="244">
        <f t="shared" si="130"/>
        <v>0</v>
      </c>
    </row>
    <row r="73" spans="1:37" s="10" customFormat="1" ht="14.15" customHeight="1">
      <c r="A73" s="912"/>
      <c r="B73" s="340">
        <v>10</v>
      </c>
      <c r="C73" s="340" t="s">
        <v>761</v>
      </c>
      <c r="D73" s="239">
        <v>424088</v>
      </c>
      <c r="E73" s="239">
        <f t="shared" si="111"/>
        <v>25410</v>
      </c>
      <c r="F73" s="244">
        <f t="shared" si="112"/>
        <v>5.9916809718737616</v>
      </c>
      <c r="G73" s="239">
        <f t="shared" si="113"/>
        <v>9868</v>
      </c>
      <c r="H73" s="244">
        <f t="shared" si="114"/>
        <v>2.3268755541302748</v>
      </c>
      <c r="I73" s="239">
        <v>7160</v>
      </c>
      <c r="J73" s="244">
        <f t="shared" si="115"/>
        <v>1.6883288374111034</v>
      </c>
      <c r="K73" s="239">
        <v>15542</v>
      </c>
      <c r="L73" s="244">
        <f t="shared" si="116"/>
        <v>3.6648054177434872</v>
      </c>
      <c r="M73" s="239">
        <v>2202</v>
      </c>
      <c r="N73" s="244">
        <f t="shared" si="117"/>
        <v>0.51923185753900125</v>
      </c>
      <c r="O73" s="239">
        <v>0</v>
      </c>
      <c r="P73" s="244">
        <f t="shared" si="118"/>
        <v>0</v>
      </c>
      <c r="Q73" s="239">
        <v>131</v>
      </c>
      <c r="R73" s="244">
        <f t="shared" si="119"/>
        <v>3.08898153213484E-2</v>
      </c>
      <c r="S73" s="239">
        <v>375</v>
      </c>
      <c r="T73" s="381">
        <f t="shared" si="120"/>
        <v>8.8425043858821759E-2</v>
      </c>
      <c r="U73" s="382">
        <v>63115</v>
      </c>
      <c r="V73" s="239">
        <f t="shared" si="121"/>
        <v>4505</v>
      </c>
      <c r="W73" s="244">
        <f t="shared" si="122"/>
        <v>7.1377643983205257</v>
      </c>
      <c r="X73" s="239">
        <f t="shared" si="123"/>
        <v>1910</v>
      </c>
      <c r="Y73" s="244">
        <f t="shared" si="124"/>
        <v>3.0262219757585358</v>
      </c>
      <c r="Z73" s="239">
        <v>873</v>
      </c>
      <c r="AA73" s="244">
        <f t="shared" si="125"/>
        <v>1.3831894161451319</v>
      </c>
      <c r="AB73" s="239">
        <v>2595</v>
      </c>
      <c r="AC73" s="244">
        <f t="shared" si="126"/>
        <v>4.1115424225619899</v>
      </c>
      <c r="AD73" s="239">
        <v>750</v>
      </c>
      <c r="AE73" s="244">
        <f t="shared" si="127"/>
        <v>1.1883070585439277</v>
      </c>
      <c r="AF73" s="239">
        <v>0</v>
      </c>
      <c r="AG73" s="244">
        <f t="shared" si="128"/>
        <v>0</v>
      </c>
      <c r="AH73" s="239">
        <v>131</v>
      </c>
      <c r="AI73" s="244">
        <f t="shared" si="129"/>
        <v>0.20755763289233936</v>
      </c>
      <c r="AJ73" s="239">
        <v>156</v>
      </c>
      <c r="AK73" s="244">
        <f t="shared" si="130"/>
        <v>0.24716786817713696</v>
      </c>
    </row>
    <row r="74" spans="1:37" s="10" customFormat="1" ht="14.15" customHeight="1">
      <c r="A74" s="912"/>
      <c r="B74" s="340">
        <v>26</v>
      </c>
      <c r="C74" s="340" t="s">
        <v>762</v>
      </c>
      <c r="D74" s="239">
        <v>94812</v>
      </c>
      <c r="E74" s="239">
        <f t="shared" si="111"/>
        <v>87167</v>
      </c>
      <c r="F74" s="244">
        <f t="shared" si="112"/>
        <v>91.936674682529642</v>
      </c>
      <c r="G74" s="239">
        <f t="shared" si="113"/>
        <v>31849</v>
      </c>
      <c r="H74" s="244">
        <f t="shared" si="114"/>
        <v>33.591739442264689</v>
      </c>
      <c r="I74" s="239">
        <v>15903</v>
      </c>
      <c r="J74" s="244">
        <f t="shared" si="115"/>
        <v>16.773193266675104</v>
      </c>
      <c r="K74" s="239">
        <v>2740</v>
      </c>
      <c r="L74" s="244">
        <f t="shared" si="116"/>
        <v>2.8899295447833611</v>
      </c>
      <c r="M74" s="239">
        <v>5228</v>
      </c>
      <c r="N74" s="244">
        <f t="shared" si="117"/>
        <v>5.5140699489516098</v>
      </c>
      <c r="O74" s="239">
        <v>52578</v>
      </c>
      <c r="P74" s="244">
        <f t="shared" si="118"/>
        <v>55.455005695481589</v>
      </c>
      <c r="Q74" s="239">
        <v>10718</v>
      </c>
      <c r="R74" s="244">
        <f t="shared" si="119"/>
        <v>11.304476226637979</v>
      </c>
      <c r="S74" s="239">
        <v>0</v>
      </c>
      <c r="T74" s="381">
        <f t="shared" si="120"/>
        <v>0</v>
      </c>
      <c r="U74" s="382">
        <v>20726</v>
      </c>
      <c r="V74" s="239">
        <f t="shared" si="121"/>
        <v>19148</v>
      </c>
      <c r="W74" s="244">
        <f t="shared" si="122"/>
        <v>92.386374601949242</v>
      </c>
      <c r="X74" s="239">
        <f t="shared" si="123"/>
        <v>8498</v>
      </c>
      <c r="Y74" s="244">
        <f t="shared" si="124"/>
        <v>41.001640451606683</v>
      </c>
      <c r="Z74" s="239">
        <v>0</v>
      </c>
      <c r="AA74" s="244">
        <f t="shared" si="125"/>
        <v>0</v>
      </c>
      <c r="AB74" s="239">
        <v>2740</v>
      </c>
      <c r="AC74" s="244">
        <f t="shared" si="126"/>
        <v>13.220110006754801</v>
      </c>
      <c r="AD74" s="239">
        <v>5005</v>
      </c>
      <c r="AE74" s="244">
        <f t="shared" si="127"/>
        <v>24.148412621827656</v>
      </c>
      <c r="AF74" s="239">
        <v>7910</v>
      </c>
      <c r="AG74" s="244">
        <f t="shared" si="128"/>
        <v>38.164624143587766</v>
      </c>
      <c r="AH74" s="239">
        <v>3493</v>
      </c>
      <c r="AI74" s="244">
        <f t="shared" si="129"/>
        <v>16.853227829779023</v>
      </c>
      <c r="AJ74" s="239">
        <v>0</v>
      </c>
      <c r="AK74" s="244">
        <f t="shared" si="130"/>
        <v>0</v>
      </c>
    </row>
    <row r="75" spans="1:37" s="10" customFormat="1" ht="14.15" customHeight="1">
      <c r="A75" s="912"/>
      <c r="B75" s="340">
        <v>15</v>
      </c>
      <c r="C75" s="340" t="s">
        <v>763</v>
      </c>
      <c r="D75" s="239">
        <v>89618</v>
      </c>
      <c r="E75" s="239">
        <f t="shared" si="111"/>
        <v>4997</v>
      </c>
      <c r="F75" s="244">
        <f t="shared" si="112"/>
        <v>5.5758887723448414</v>
      </c>
      <c r="G75" s="239">
        <f t="shared" si="113"/>
        <v>4997</v>
      </c>
      <c r="H75" s="244">
        <f t="shared" si="114"/>
        <v>5.5758887723448414</v>
      </c>
      <c r="I75" s="239">
        <v>0</v>
      </c>
      <c r="J75" s="244">
        <f t="shared" si="115"/>
        <v>0</v>
      </c>
      <c r="K75" s="239">
        <v>0</v>
      </c>
      <c r="L75" s="244">
        <f t="shared" si="116"/>
        <v>0</v>
      </c>
      <c r="M75" s="239">
        <v>0</v>
      </c>
      <c r="N75" s="244">
        <f t="shared" si="117"/>
        <v>0</v>
      </c>
      <c r="O75" s="239">
        <v>0</v>
      </c>
      <c r="P75" s="244">
        <f t="shared" si="118"/>
        <v>0</v>
      </c>
      <c r="Q75" s="239">
        <v>4997</v>
      </c>
      <c r="R75" s="244">
        <f t="shared" si="119"/>
        <v>5.5758887723448414</v>
      </c>
      <c r="S75" s="239">
        <v>0</v>
      </c>
      <c r="T75" s="381">
        <f t="shared" si="120"/>
        <v>0</v>
      </c>
      <c r="U75" s="382">
        <v>12762</v>
      </c>
      <c r="V75" s="239">
        <f t="shared" si="121"/>
        <v>0</v>
      </c>
      <c r="W75" s="244">
        <f t="shared" si="122"/>
        <v>0</v>
      </c>
      <c r="X75" s="239">
        <f t="shared" si="123"/>
        <v>0</v>
      </c>
      <c r="Y75" s="244">
        <f t="shared" si="124"/>
        <v>0</v>
      </c>
      <c r="Z75" s="239">
        <v>0</v>
      </c>
      <c r="AA75" s="244">
        <f t="shared" si="125"/>
        <v>0</v>
      </c>
      <c r="AB75" s="239">
        <v>0</v>
      </c>
      <c r="AC75" s="244">
        <f t="shared" si="126"/>
        <v>0</v>
      </c>
      <c r="AD75" s="239">
        <v>0</v>
      </c>
      <c r="AE75" s="244">
        <f t="shared" si="127"/>
        <v>0</v>
      </c>
      <c r="AF75" s="239">
        <v>0</v>
      </c>
      <c r="AG75" s="244">
        <f t="shared" si="128"/>
        <v>0</v>
      </c>
      <c r="AH75" s="239">
        <v>0</v>
      </c>
      <c r="AI75" s="244">
        <f t="shared" si="129"/>
        <v>0</v>
      </c>
      <c r="AJ75" s="239">
        <v>0</v>
      </c>
      <c r="AK75" s="244">
        <f t="shared" si="130"/>
        <v>0</v>
      </c>
    </row>
    <row r="76" spans="1:37" s="10" customFormat="1" ht="14.15" customHeight="1">
      <c r="A76" s="912"/>
      <c r="B76" s="340">
        <v>87</v>
      </c>
      <c r="C76" s="340" t="s">
        <v>764</v>
      </c>
      <c r="D76" s="239">
        <v>85123</v>
      </c>
      <c r="E76" s="239">
        <f t="shared" si="111"/>
        <v>1563</v>
      </c>
      <c r="F76" s="244">
        <f t="shared" si="112"/>
        <v>1.8361664884931219</v>
      </c>
      <c r="G76" s="239">
        <f t="shared" si="113"/>
        <v>1563</v>
      </c>
      <c r="H76" s="244">
        <f t="shared" si="114"/>
        <v>1.8361664884931219</v>
      </c>
      <c r="I76" s="239">
        <v>0</v>
      </c>
      <c r="J76" s="244">
        <f t="shared" si="115"/>
        <v>0</v>
      </c>
      <c r="K76" s="239">
        <v>0</v>
      </c>
      <c r="L76" s="244">
        <f t="shared" si="116"/>
        <v>0</v>
      </c>
      <c r="M76" s="239">
        <v>0</v>
      </c>
      <c r="N76" s="244">
        <f t="shared" si="117"/>
        <v>0</v>
      </c>
      <c r="O76" s="239">
        <v>0</v>
      </c>
      <c r="P76" s="244">
        <f t="shared" si="118"/>
        <v>0</v>
      </c>
      <c r="Q76" s="239">
        <v>1563</v>
      </c>
      <c r="R76" s="244">
        <f t="shared" si="119"/>
        <v>1.8361664884931219</v>
      </c>
      <c r="S76" s="239">
        <v>0</v>
      </c>
      <c r="T76" s="381">
        <f t="shared" si="120"/>
        <v>0</v>
      </c>
      <c r="U76" s="382">
        <v>18280</v>
      </c>
      <c r="V76" s="239">
        <f t="shared" si="121"/>
        <v>654</v>
      </c>
      <c r="W76" s="244">
        <f t="shared" si="122"/>
        <v>3.5776805251641139</v>
      </c>
      <c r="X76" s="239">
        <f t="shared" si="123"/>
        <v>654</v>
      </c>
      <c r="Y76" s="244">
        <f t="shared" si="124"/>
        <v>3.5776805251641139</v>
      </c>
      <c r="Z76" s="239">
        <v>0</v>
      </c>
      <c r="AA76" s="244">
        <f t="shared" si="125"/>
        <v>0</v>
      </c>
      <c r="AB76" s="239">
        <v>0</v>
      </c>
      <c r="AC76" s="244">
        <f t="shared" si="126"/>
        <v>0</v>
      </c>
      <c r="AD76" s="239">
        <v>0</v>
      </c>
      <c r="AE76" s="244">
        <f t="shared" si="127"/>
        <v>0</v>
      </c>
      <c r="AF76" s="239">
        <v>0</v>
      </c>
      <c r="AG76" s="244">
        <f t="shared" si="128"/>
        <v>0</v>
      </c>
      <c r="AH76" s="239">
        <v>654</v>
      </c>
      <c r="AI76" s="244">
        <f t="shared" si="129"/>
        <v>3.5776805251641139</v>
      </c>
      <c r="AJ76" s="239">
        <v>0</v>
      </c>
      <c r="AK76" s="244">
        <f t="shared" si="130"/>
        <v>0</v>
      </c>
    </row>
    <row r="77" spans="1:37" s="10" customFormat="1" ht="14.15" customHeight="1">
      <c r="A77" s="912"/>
      <c r="B77" s="340">
        <v>81</v>
      </c>
      <c r="C77" s="340" t="s">
        <v>765</v>
      </c>
      <c r="D77" s="239">
        <v>237623</v>
      </c>
      <c r="E77" s="239">
        <f t="shared" si="111"/>
        <v>28318</v>
      </c>
      <c r="F77" s="244">
        <f t="shared" si="112"/>
        <v>11.91719656767232</v>
      </c>
      <c r="G77" s="239">
        <f t="shared" si="113"/>
        <v>28318</v>
      </c>
      <c r="H77" s="244">
        <f t="shared" si="114"/>
        <v>11.91719656767232</v>
      </c>
      <c r="I77" s="239">
        <v>0</v>
      </c>
      <c r="J77" s="244">
        <f t="shared" si="115"/>
        <v>0</v>
      </c>
      <c r="K77" s="239">
        <v>0</v>
      </c>
      <c r="L77" s="244">
        <f t="shared" si="116"/>
        <v>0</v>
      </c>
      <c r="M77" s="239">
        <v>5</v>
      </c>
      <c r="N77" s="244">
        <f t="shared" si="117"/>
        <v>2.1041734175563814E-3</v>
      </c>
      <c r="O77" s="239">
        <v>0</v>
      </c>
      <c r="P77" s="244">
        <f t="shared" si="118"/>
        <v>0</v>
      </c>
      <c r="Q77" s="239">
        <v>28313</v>
      </c>
      <c r="R77" s="244">
        <f t="shared" si="119"/>
        <v>11.915092394254764</v>
      </c>
      <c r="S77" s="239">
        <v>0</v>
      </c>
      <c r="T77" s="381">
        <f t="shared" si="120"/>
        <v>0</v>
      </c>
      <c r="U77" s="382">
        <v>13285</v>
      </c>
      <c r="V77" s="239">
        <f t="shared" si="121"/>
        <v>1234</v>
      </c>
      <c r="W77" s="244">
        <f t="shared" si="122"/>
        <v>9.2886714339480623</v>
      </c>
      <c r="X77" s="239">
        <f t="shared" si="123"/>
        <v>1234</v>
      </c>
      <c r="Y77" s="244">
        <f t="shared" si="124"/>
        <v>9.2886714339480623</v>
      </c>
      <c r="Z77" s="239">
        <v>0</v>
      </c>
      <c r="AA77" s="244">
        <f t="shared" si="125"/>
        <v>0</v>
      </c>
      <c r="AB77" s="239">
        <v>0</v>
      </c>
      <c r="AC77" s="244">
        <f t="shared" si="126"/>
        <v>0</v>
      </c>
      <c r="AD77" s="239">
        <v>5</v>
      </c>
      <c r="AE77" s="244">
        <f t="shared" si="127"/>
        <v>3.7636432066240122E-2</v>
      </c>
      <c r="AF77" s="239">
        <v>0</v>
      </c>
      <c r="AG77" s="244">
        <f t="shared" si="128"/>
        <v>0</v>
      </c>
      <c r="AH77" s="239">
        <v>1229</v>
      </c>
      <c r="AI77" s="244">
        <f t="shared" si="129"/>
        <v>9.2510350018818208</v>
      </c>
      <c r="AJ77" s="239">
        <v>0</v>
      </c>
      <c r="AK77" s="244">
        <f t="shared" si="130"/>
        <v>0</v>
      </c>
    </row>
    <row r="78" spans="1:37" s="10" customFormat="1" ht="14.15" customHeight="1">
      <c r="A78" s="912"/>
      <c r="B78" s="340">
        <v>54</v>
      </c>
      <c r="C78" s="340" t="s">
        <v>766</v>
      </c>
      <c r="D78" s="239">
        <v>154390</v>
      </c>
      <c r="E78" s="239">
        <f t="shared" si="111"/>
        <v>40439</v>
      </c>
      <c r="F78" s="244">
        <f t="shared" si="112"/>
        <v>26.192758598354814</v>
      </c>
      <c r="G78" s="239">
        <f t="shared" si="113"/>
        <v>30451</v>
      </c>
      <c r="H78" s="244">
        <f t="shared" si="114"/>
        <v>19.723427683140098</v>
      </c>
      <c r="I78" s="239">
        <v>643</v>
      </c>
      <c r="J78" s="244">
        <f t="shared" si="115"/>
        <v>0.41647775114968583</v>
      </c>
      <c r="K78" s="239">
        <v>9988</v>
      </c>
      <c r="L78" s="244">
        <f t="shared" si="116"/>
        <v>6.4693309152147158</v>
      </c>
      <c r="M78" s="239">
        <v>15293</v>
      </c>
      <c r="N78" s="244">
        <f t="shared" si="117"/>
        <v>9.9054342897856085</v>
      </c>
      <c r="O78" s="239">
        <v>0</v>
      </c>
      <c r="P78" s="244">
        <f t="shared" si="118"/>
        <v>0</v>
      </c>
      <c r="Q78" s="239">
        <v>14461</v>
      </c>
      <c r="R78" s="244">
        <f t="shared" si="119"/>
        <v>9.3665392836323598</v>
      </c>
      <c r="S78" s="239">
        <v>54</v>
      </c>
      <c r="T78" s="381">
        <f t="shared" si="120"/>
        <v>3.4976358572446402E-2</v>
      </c>
      <c r="U78" s="382">
        <v>59259</v>
      </c>
      <c r="V78" s="239">
        <f t="shared" si="121"/>
        <v>26247</v>
      </c>
      <c r="W78" s="244">
        <f t="shared" si="122"/>
        <v>44.292006277527463</v>
      </c>
      <c r="X78" s="239">
        <f t="shared" si="123"/>
        <v>21011</v>
      </c>
      <c r="Y78" s="244">
        <f t="shared" si="124"/>
        <v>35.456217620952089</v>
      </c>
      <c r="Z78" s="239">
        <v>643</v>
      </c>
      <c r="AA78" s="244">
        <f t="shared" si="125"/>
        <v>1.0850672471692064</v>
      </c>
      <c r="AB78" s="239">
        <v>5236</v>
      </c>
      <c r="AC78" s="244">
        <f t="shared" si="126"/>
        <v>8.8357886565753709</v>
      </c>
      <c r="AD78" s="239">
        <v>14946</v>
      </c>
      <c r="AE78" s="244">
        <f t="shared" si="127"/>
        <v>25.221485343998378</v>
      </c>
      <c r="AF78" s="239">
        <v>0</v>
      </c>
      <c r="AG78" s="244">
        <f t="shared" si="128"/>
        <v>0</v>
      </c>
      <c r="AH78" s="239">
        <v>5368</v>
      </c>
      <c r="AI78" s="244">
        <f t="shared" si="129"/>
        <v>9.0585396311108859</v>
      </c>
      <c r="AJ78" s="239">
        <v>54</v>
      </c>
      <c r="AK78" s="244">
        <f t="shared" si="130"/>
        <v>9.1125398673619198E-2</v>
      </c>
    </row>
    <row r="79" spans="1:37" s="10" customFormat="1" ht="14.15" customHeight="1" thickBot="1">
      <c r="A79" s="912"/>
      <c r="B79" s="342">
        <v>75</v>
      </c>
      <c r="C79" s="342" t="s">
        <v>767</v>
      </c>
      <c r="D79" s="247">
        <v>85062</v>
      </c>
      <c r="E79" s="247">
        <f t="shared" si="111"/>
        <v>7253</v>
      </c>
      <c r="F79" s="251">
        <f t="shared" si="112"/>
        <v>8.5267216853589147</v>
      </c>
      <c r="G79" s="247">
        <f t="shared" si="113"/>
        <v>7253</v>
      </c>
      <c r="H79" s="251">
        <f t="shared" si="114"/>
        <v>8.5267216853589147</v>
      </c>
      <c r="I79" s="247">
        <v>0</v>
      </c>
      <c r="J79" s="251">
        <f t="shared" si="115"/>
        <v>0</v>
      </c>
      <c r="K79" s="247">
        <v>0</v>
      </c>
      <c r="L79" s="251">
        <f t="shared" si="116"/>
        <v>0</v>
      </c>
      <c r="M79" s="247">
        <v>0</v>
      </c>
      <c r="N79" s="251">
        <f t="shared" si="117"/>
        <v>0</v>
      </c>
      <c r="O79" s="247">
        <v>0</v>
      </c>
      <c r="P79" s="251">
        <f t="shared" si="118"/>
        <v>0</v>
      </c>
      <c r="Q79" s="247">
        <v>7253</v>
      </c>
      <c r="R79" s="251">
        <f t="shared" si="119"/>
        <v>8.5267216853589147</v>
      </c>
      <c r="S79" s="247">
        <v>0</v>
      </c>
      <c r="T79" s="383">
        <f t="shared" si="120"/>
        <v>0</v>
      </c>
      <c r="U79" s="384">
        <v>9115</v>
      </c>
      <c r="V79" s="247">
        <f t="shared" si="121"/>
        <v>1630</v>
      </c>
      <c r="W79" s="251">
        <f t="shared" si="122"/>
        <v>17.882611080636313</v>
      </c>
      <c r="X79" s="247">
        <f t="shared" si="123"/>
        <v>1630</v>
      </c>
      <c r="Y79" s="251">
        <f t="shared" si="124"/>
        <v>17.882611080636313</v>
      </c>
      <c r="Z79" s="247">
        <v>0</v>
      </c>
      <c r="AA79" s="251">
        <f t="shared" si="125"/>
        <v>0</v>
      </c>
      <c r="AB79" s="247">
        <v>0</v>
      </c>
      <c r="AC79" s="251">
        <f t="shared" si="126"/>
        <v>0</v>
      </c>
      <c r="AD79" s="247">
        <v>0</v>
      </c>
      <c r="AE79" s="251">
        <f t="shared" si="127"/>
        <v>0</v>
      </c>
      <c r="AF79" s="247">
        <v>0</v>
      </c>
      <c r="AG79" s="251">
        <f t="shared" si="128"/>
        <v>0</v>
      </c>
      <c r="AH79" s="247">
        <v>1630</v>
      </c>
      <c r="AI79" s="251">
        <f t="shared" si="129"/>
        <v>17.882611080636313</v>
      </c>
      <c r="AJ79" s="247">
        <v>0</v>
      </c>
      <c r="AK79" s="251">
        <f t="shared" si="130"/>
        <v>0</v>
      </c>
    </row>
    <row r="80" spans="1:37" s="343" customFormat="1" ht="14.15" customHeight="1" thickTop="1">
      <c r="A80" s="912"/>
      <c r="B80" s="252"/>
      <c r="C80" s="385" t="s">
        <v>34</v>
      </c>
      <c r="D80" s="259">
        <f>SUM(D71:D79)</f>
        <v>5099667</v>
      </c>
      <c r="E80" s="259">
        <f>SUM(E71:E79)</f>
        <v>1915308</v>
      </c>
      <c r="F80" s="261">
        <f>+ROUND(E80/$D80*100,1)</f>
        <v>37.6</v>
      </c>
      <c r="G80" s="259">
        <f>SUM(G71:G79)</f>
        <v>755834</v>
      </c>
      <c r="H80" s="261">
        <f>+ROUND(G80/$D80*100,1)</f>
        <v>14.8</v>
      </c>
      <c r="I80" s="259">
        <f>SUM(I71:I79)</f>
        <v>265629</v>
      </c>
      <c r="J80" s="261">
        <f>+ROUND(I80/$D80*100,1)</f>
        <v>5.2</v>
      </c>
      <c r="K80" s="259">
        <f>SUM(K71:K79)</f>
        <v>1106896</v>
      </c>
      <c r="L80" s="261">
        <f>+ROUND(K80/$D80*100,1)</f>
        <v>21.7</v>
      </c>
      <c r="M80" s="259">
        <f>SUM(M71:M79)</f>
        <v>131411</v>
      </c>
      <c r="N80" s="261">
        <f>+ROUND(M80/$D80*100,1)</f>
        <v>2.6</v>
      </c>
      <c r="O80" s="259">
        <f>SUM(O71:O79)</f>
        <v>52578</v>
      </c>
      <c r="P80" s="261">
        <f>+ROUND(O80/$D80*100,1)</f>
        <v>1</v>
      </c>
      <c r="Q80" s="259">
        <f>SUM(Q71:Q79)</f>
        <v>357542</v>
      </c>
      <c r="R80" s="261">
        <f>+ROUND(Q80/$D80*100,1)</f>
        <v>7</v>
      </c>
      <c r="S80" s="259">
        <f>SUM(S71:S79)</f>
        <v>1252</v>
      </c>
      <c r="T80" s="386">
        <f>+ROUND(S80/$D80*100,1)</f>
        <v>0</v>
      </c>
      <c r="U80" s="259">
        <f>SUM(U71:U79)</f>
        <v>711791</v>
      </c>
      <c r="V80" s="259">
        <f>SUM(V71:V79)</f>
        <v>354773</v>
      </c>
      <c r="W80" s="261">
        <f>+ROUND(V80/$U80*100,1)</f>
        <v>49.8</v>
      </c>
      <c r="X80" s="259">
        <f>SUM(X71:X79)</f>
        <v>250257</v>
      </c>
      <c r="Y80" s="261">
        <f>+ROUND(X80/$U80*100,1)</f>
        <v>35.200000000000003</v>
      </c>
      <c r="Z80" s="259">
        <f>SUM(Z71:Z79)</f>
        <v>84778</v>
      </c>
      <c r="AA80" s="261">
        <f>+ROUND(Z80/$U80*100,1)</f>
        <v>11.9</v>
      </c>
      <c r="AB80" s="259">
        <f>SUM(AB71:AB79)</f>
        <v>96606</v>
      </c>
      <c r="AC80" s="261">
        <f>+ROUND(AB80/$U80*100,1)</f>
        <v>13.6</v>
      </c>
      <c r="AD80" s="259">
        <f>SUM(AD71:AD79)</f>
        <v>99290</v>
      </c>
      <c r="AE80" s="261">
        <f>+ROUND(AD80/$U80*100,1)</f>
        <v>13.9</v>
      </c>
      <c r="AF80" s="259">
        <f>SUM(AF71:AF79)</f>
        <v>7910</v>
      </c>
      <c r="AG80" s="261">
        <f>+ROUND(AF80/$U80*100,1)</f>
        <v>1.1000000000000001</v>
      </c>
      <c r="AH80" s="259">
        <f>SUM(AH71:AH79)</f>
        <v>65838</v>
      </c>
      <c r="AI80" s="261">
        <f>+ROUND(AH80/$U80*100,1)</f>
        <v>9.1999999999999993</v>
      </c>
      <c r="AJ80" s="259">
        <f>SUM(AJ71:AJ79)</f>
        <v>351</v>
      </c>
      <c r="AK80" s="261">
        <f>+ROUND(AJ80/$U80*100,1)</f>
        <v>0</v>
      </c>
    </row>
    <row r="81" spans="1:37" s="343" customFormat="1" ht="14.15" customHeight="1">
      <c r="A81" s="912"/>
      <c r="B81" s="263"/>
      <c r="C81" s="357"/>
      <c r="D81" s="270"/>
      <c r="E81" s="270"/>
      <c r="F81" s="272"/>
      <c r="G81" s="270"/>
      <c r="H81" s="272"/>
      <c r="I81" s="270"/>
      <c r="J81" s="272"/>
      <c r="K81" s="270"/>
      <c r="L81" s="272"/>
      <c r="M81" s="270"/>
      <c r="N81" s="272"/>
      <c r="O81" s="270"/>
      <c r="P81" s="272"/>
      <c r="Q81" s="270"/>
      <c r="R81" s="272"/>
      <c r="S81" s="270"/>
      <c r="T81" s="387"/>
      <c r="U81" s="388"/>
      <c r="V81" s="270"/>
      <c r="W81" s="272"/>
      <c r="X81" s="270"/>
      <c r="Y81" s="272"/>
      <c r="Z81" s="270"/>
      <c r="AA81" s="272"/>
      <c r="AB81" s="270"/>
      <c r="AC81" s="272"/>
      <c r="AD81" s="270"/>
      <c r="AE81" s="272"/>
      <c r="AF81" s="270"/>
      <c r="AG81" s="272"/>
      <c r="AH81" s="270"/>
      <c r="AI81" s="272"/>
      <c r="AJ81" s="270"/>
      <c r="AK81" s="272"/>
    </row>
    <row r="82" spans="1:37" s="10" customFormat="1" ht="14.15" customHeight="1">
      <c r="A82" s="912" t="s">
        <v>768</v>
      </c>
      <c r="B82" s="339">
        <v>2</v>
      </c>
      <c r="C82" s="339" t="s">
        <v>769</v>
      </c>
      <c r="D82" s="231">
        <v>352731</v>
      </c>
      <c r="E82" s="239">
        <f t="shared" ref="E82:E86" si="131">I82+K82+M82+O82+Q82+S82</f>
        <v>36624</v>
      </c>
      <c r="F82" s="236">
        <f t="shared" ref="F82:F86" si="132">E82/$D82*100</f>
        <v>10.382983066416051</v>
      </c>
      <c r="G82" s="306">
        <f t="shared" ref="G82:G86" si="133">I82+M82+Q82+S82</f>
        <v>32922</v>
      </c>
      <c r="H82" s="236">
        <f t="shared" ref="H82:H86" si="134">G82/$D82*100</f>
        <v>9.3334580742832358</v>
      </c>
      <c r="I82" s="231">
        <v>4414</v>
      </c>
      <c r="J82" s="236">
        <f t="shared" ref="J82:J86" si="135">I82/$D82*100</f>
        <v>1.2513785292475001</v>
      </c>
      <c r="K82" s="231">
        <v>0</v>
      </c>
      <c r="L82" s="236">
        <f t="shared" ref="L82:L86" si="136">K82/$D82*100</f>
        <v>0</v>
      </c>
      <c r="M82" s="231">
        <v>0</v>
      </c>
      <c r="N82" s="236">
        <f t="shared" ref="N82:N86" si="137">M82/$D82*100</f>
        <v>0</v>
      </c>
      <c r="O82" s="231">
        <v>3702</v>
      </c>
      <c r="P82" s="236">
        <f t="shared" ref="P82:P86" si="138">O82/$D82*100</f>
        <v>1.0495249921328151</v>
      </c>
      <c r="Q82" s="231">
        <v>28508</v>
      </c>
      <c r="R82" s="236">
        <f t="shared" ref="R82:R86" si="139">Q82/$D82*100</f>
        <v>8.0820795450357341</v>
      </c>
      <c r="S82" s="231">
        <v>0</v>
      </c>
      <c r="T82" s="379">
        <f t="shared" ref="T82:T86" si="140">S82/$D82*100</f>
        <v>0</v>
      </c>
      <c r="U82" s="380">
        <v>44984</v>
      </c>
      <c r="V82" s="231">
        <f t="shared" ref="V82:V86" si="141">Z82+AB82+AD82+AF82+AH82+AJ82</f>
        <v>4214</v>
      </c>
      <c r="W82" s="236">
        <f t="shared" ref="W82:W86" si="142">V82/$U82*100</f>
        <v>9.367775208963188</v>
      </c>
      <c r="X82" s="231">
        <f t="shared" ref="X82:X86" si="143">Z82+AD82+AH82+AJ82</f>
        <v>4214</v>
      </c>
      <c r="Y82" s="236">
        <f t="shared" ref="Y82:Y86" si="144">X82/$U82*100</f>
        <v>9.367775208963188</v>
      </c>
      <c r="Z82" s="231">
        <v>0</v>
      </c>
      <c r="AA82" s="236">
        <f t="shared" ref="AA82:AA86" si="145">Z82/$U82*100</f>
        <v>0</v>
      </c>
      <c r="AB82" s="231">
        <v>0</v>
      </c>
      <c r="AC82" s="236">
        <f t="shared" ref="AC82:AC86" si="146">AB82/$U82*100</f>
        <v>0</v>
      </c>
      <c r="AD82" s="231">
        <v>0</v>
      </c>
      <c r="AE82" s="236">
        <f t="shared" ref="AE82:AE86" si="147">AD82/$U82*100</f>
        <v>0</v>
      </c>
      <c r="AF82" s="231">
        <v>0</v>
      </c>
      <c r="AG82" s="236">
        <f t="shared" ref="AG82:AG86" si="148">AF82/$U82*100</f>
        <v>0</v>
      </c>
      <c r="AH82" s="231">
        <v>4214</v>
      </c>
      <c r="AI82" s="236">
        <f t="shared" ref="AI82:AI86" si="149">AH82/$U82*100</f>
        <v>9.367775208963188</v>
      </c>
      <c r="AJ82" s="231">
        <v>0</v>
      </c>
      <c r="AK82" s="236">
        <f t="shared" ref="AK82:AK86" si="150">AJ82/$U82*100</f>
        <v>0</v>
      </c>
    </row>
    <row r="83" spans="1:37" s="10" customFormat="1" ht="14.15" customHeight="1">
      <c r="A83" s="912"/>
      <c r="B83" s="340">
        <v>27</v>
      </c>
      <c r="C83" s="340" t="s">
        <v>770</v>
      </c>
      <c r="D83" s="239">
        <v>367186</v>
      </c>
      <c r="E83" s="239">
        <f t="shared" si="131"/>
        <v>8351</v>
      </c>
      <c r="F83" s="244">
        <f t="shared" si="132"/>
        <v>2.2743241844732642</v>
      </c>
      <c r="G83" s="239">
        <f t="shared" si="133"/>
        <v>8351</v>
      </c>
      <c r="H83" s="244">
        <f t="shared" si="134"/>
        <v>2.2743241844732642</v>
      </c>
      <c r="I83" s="239">
        <v>3251</v>
      </c>
      <c r="J83" s="244">
        <f t="shared" si="135"/>
        <v>0.88538234028530494</v>
      </c>
      <c r="K83" s="239">
        <v>0</v>
      </c>
      <c r="L83" s="244">
        <f t="shared" si="136"/>
        <v>0</v>
      </c>
      <c r="M83" s="239">
        <v>0</v>
      </c>
      <c r="N83" s="244">
        <f t="shared" si="137"/>
        <v>0</v>
      </c>
      <c r="O83" s="239">
        <v>0</v>
      </c>
      <c r="P83" s="244">
        <f t="shared" si="138"/>
        <v>0</v>
      </c>
      <c r="Q83" s="239">
        <v>5100</v>
      </c>
      <c r="R83" s="244">
        <f t="shared" si="139"/>
        <v>1.3889418441879593</v>
      </c>
      <c r="S83" s="239">
        <v>0</v>
      </c>
      <c r="T83" s="381">
        <f t="shared" si="140"/>
        <v>0</v>
      </c>
      <c r="U83" s="382">
        <v>77981</v>
      </c>
      <c r="V83" s="239">
        <f t="shared" si="141"/>
        <v>8351</v>
      </c>
      <c r="W83" s="244">
        <f t="shared" si="142"/>
        <v>10.70901886356933</v>
      </c>
      <c r="X83" s="239">
        <f t="shared" si="143"/>
        <v>8351</v>
      </c>
      <c r="Y83" s="244">
        <f t="shared" si="144"/>
        <v>10.70901886356933</v>
      </c>
      <c r="Z83" s="239">
        <v>3251</v>
      </c>
      <c r="AA83" s="244">
        <f t="shared" si="145"/>
        <v>4.168964234877726</v>
      </c>
      <c r="AB83" s="239">
        <v>0</v>
      </c>
      <c r="AC83" s="244">
        <f t="shared" si="146"/>
        <v>0</v>
      </c>
      <c r="AD83" s="239">
        <v>0</v>
      </c>
      <c r="AE83" s="244">
        <f t="shared" si="147"/>
        <v>0</v>
      </c>
      <c r="AF83" s="239">
        <v>0</v>
      </c>
      <c r="AG83" s="244">
        <f t="shared" si="148"/>
        <v>0</v>
      </c>
      <c r="AH83" s="239">
        <v>5100</v>
      </c>
      <c r="AI83" s="244">
        <f t="shared" si="149"/>
        <v>6.540054628691605</v>
      </c>
      <c r="AJ83" s="239">
        <v>0</v>
      </c>
      <c r="AK83" s="244">
        <f t="shared" si="150"/>
        <v>0</v>
      </c>
    </row>
    <row r="84" spans="1:37" s="10" customFormat="1" ht="14.15" customHeight="1">
      <c r="A84" s="912"/>
      <c r="B84" s="340">
        <v>21</v>
      </c>
      <c r="C84" s="340" t="s">
        <v>771</v>
      </c>
      <c r="D84" s="239">
        <v>104639</v>
      </c>
      <c r="E84" s="239">
        <f t="shared" si="131"/>
        <v>146</v>
      </c>
      <c r="F84" s="244">
        <f t="shared" si="132"/>
        <v>0.13952732728714914</v>
      </c>
      <c r="G84" s="239">
        <f t="shared" si="133"/>
        <v>146</v>
      </c>
      <c r="H84" s="244">
        <f t="shared" si="134"/>
        <v>0.13952732728714914</v>
      </c>
      <c r="I84" s="239">
        <v>0</v>
      </c>
      <c r="J84" s="244">
        <f t="shared" si="135"/>
        <v>0</v>
      </c>
      <c r="K84" s="239">
        <v>0</v>
      </c>
      <c r="L84" s="244">
        <f t="shared" si="136"/>
        <v>0</v>
      </c>
      <c r="M84" s="239">
        <v>0</v>
      </c>
      <c r="N84" s="244">
        <f t="shared" si="137"/>
        <v>0</v>
      </c>
      <c r="O84" s="239">
        <v>0</v>
      </c>
      <c r="P84" s="244">
        <f t="shared" si="138"/>
        <v>0</v>
      </c>
      <c r="Q84" s="239">
        <v>0</v>
      </c>
      <c r="R84" s="244">
        <f t="shared" si="139"/>
        <v>0</v>
      </c>
      <c r="S84" s="239">
        <v>146</v>
      </c>
      <c r="T84" s="381">
        <f t="shared" si="140"/>
        <v>0.13952732728714914</v>
      </c>
      <c r="U84" s="382">
        <v>20250</v>
      </c>
      <c r="V84" s="239">
        <f t="shared" si="141"/>
        <v>26</v>
      </c>
      <c r="W84" s="244">
        <f t="shared" si="142"/>
        <v>0.12839506172839507</v>
      </c>
      <c r="X84" s="239">
        <f t="shared" si="143"/>
        <v>26</v>
      </c>
      <c r="Y84" s="244">
        <f t="shared" si="144"/>
        <v>0.12839506172839507</v>
      </c>
      <c r="Z84" s="239">
        <v>0</v>
      </c>
      <c r="AA84" s="244">
        <f t="shared" si="145"/>
        <v>0</v>
      </c>
      <c r="AB84" s="239">
        <v>0</v>
      </c>
      <c r="AC84" s="244">
        <f t="shared" si="146"/>
        <v>0</v>
      </c>
      <c r="AD84" s="239">
        <v>0</v>
      </c>
      <c r="AE84" s="244">
        <f t="shared" si="147"/>
        <v>0</v>
      </c>
      <c r="AF84" s="239">
        <v>0</v>
      </c>
      <c r="AG84" s="244">
        <f t="shared" si="148"/>
        <v>0</v>
      </c>
      <c r="AH84" s="239">
        <v>0</v>
      </c>
      <c r="AI84" s="244">
        <f t="shared" si="149"/>
        <v>0</v>
      </c>
      <c r="AJ84" s="239">
        <v>26</v>
      </c>
      <c r="AK84" s="244">
        <f t="shared" si="150"/>
        <v>0.12839506172839507</v>
      </c>
    </row>
    <row r="85" spans="1:37" s="10" customFormat="1" ht="14.15" customHeight="1">
      <c r="A85" s="912"/>
      <c r="B85" s="340">
        <v>40</v>
      </c>
      <c r="C85" s="340" t="s">
        <v>772</v>
      </c>
      <c r="D85" s="239">
        <v>65466</v>
      </c>
      <c r="E85" s="239">
        <f t="shared" si="131"/>
        <v>5179</v>
      </c>
      <c r="F85" s="244">
        <f t="shared" si="132"/>
        <v>7.9109766901903269</v>
      </c>
      <c r="G85" s="239">
        <f t="shared" si="133"/>
        <v>1857</v>
      </c>
      <c r="H85" s="244">
        <f t="shared" si="134"/>
        <v>2.836586930620475</v>
      </c>
      <c r="I85" s="239">
        <v>806</v>
      </c>
      <c r="J85" s="244">
        <f t="shared" si="135"/>
        <v>1.2311734335380198</v>
      </c>
      <c r="K85" s="239">
        <v>1598</v>
      </c>
      <c r="L85" s="244">
        <f t="shared" si="136"/>
        <v>2.440961720587786</v>
      </c>
      <c r="M85" s="239">
        <v>277</v>
      </c>
      <c r="N85" s="244">
        <f t="shared" si="137"/>
        <v>0.42312039837472887</v>
      </c>
      <c r="O85" s="239">
        <v>1724</v>
      </c>
      <c r="P85" s="244">
        <f t="shared" si="138"/>
        <v>2.6334280389820672</v>
      </c>
      <c r="Q85" s="239">
        <v>686</v>
      </c>
      <c r="R85" s="244">
        <f t="shared" si="139"/>
        <v>1.0478721779244189</v>
      </c>
      <c r="S85" s="239">
        <v>88</v>
      </c>
      <c r="T85" s="381">
        <f t="shared" si="140"/>
        <v>0.13442092078330736</v>
      </c>
      <c r="U85" s="382">
        <v>6919</v>
      </c>
      <c r="V85" s="239">
        <f t="shared" si="141"/>
        <v>2678</v>
      </c>
      <c r="W85" s="244">
        <f t="shared" si="142"/>
        <v>38.705015175603414</v>
      </c>
      <c r="X85" s="239">
        <f t="shared" si="143"/>
        <v>686</v>
      </c>
      <c r="Y85" s="244">
        <f t="shared" si="144"/>
        <v>9.9147275617863855</v>
      </c>
      <c r="Z85" s="239">
        <v>0</v>
      </c>
      <c r="AA85" s="244">
        <f t="shared" si="145"/>
        <v>0</v>
      </c>
      <c r="AB85" s="239">
        <v>268</v>
      </c>
      <c r="AC85" s="244">
        <f t="shared" si="146"/>
        <v>3.8733921086862266</v>
      </c>
      <c r="AD85" s="239">
        <v>0</v>
      </c>
      <c r="AE85" s="244">
        <f t="shared" si="147"/>
        <v>0</v>
      </c>
      <c r="AF85" s="239">
        <v>1724</v>
      </c>
      <c r="AG85" s="244">
        <f t="shared" si="148"/>
        <v>24.9168955051308</v>
      </c>
      <c r="AH85" s="239">
        <v>686</v>
      </c>
      <c r="AI85" s="244">
        <f t="shared" si="149"/>
        <v>9.9147275617863855</v>
      </c>
      <c r="AJ85" s="239">
        <v>0</v>
      </c>
      <c r="AK85" s="244">
        <f t="shared" si="150"/>
        <v>0</v>
      </c>
    </row>
    <row r="86" spans="1:37" s="10" customFormat="1" ht="14.15" customHeight="1" thickBot="1">
      <c r="A86" s="912"/>
      <c r="B86" s="342">
        <v>23</v>
      </c>
      <c r="C86" s="342" t="s">
        <v>773</v>
      </c>
      <c r="D86" s="247">
        <v>33166</v>
      </c>
      <c r="E86" s="247">
        <f t="shared" si="131"/>
        <v>0</v>
      </c>
      <c r="F86" s="251">
        <f t="shared" si="132"/>
        <v>0</v>
      </c>
      <c r="G86" s="247">
        <f t="shared" si="133"/>
        <v>0</v>
      </c>
      <c r="H86" s="251">
        <f t="shared" si="134"/>
        <v>0</v>
      </c>
      <c r="I86" s="247">
        <v>0</v>
      </c>
      <c r="J86" s="251">
        <f t="shared" si="135"/>
        <v>0</v>
      </c>
      <c r="K86" s="247">
        <v>0</v>
      </c>
      <c r="L86" s="251">
        <f t="shared" si="136"/>
        <v>0</v>
      </c>
      <c r="M86" s="247">
        <v>0</v>
      </c>
      <c r="N86" s="251">
        <f t="shared" si="137"/>
        <v>0</v>
      </c>
      <c r="O86" s="247">
        <v>0</v>
      </c>
      <c r="P86" s="251">
        <f t="shared" si="138"/>
        <v>0</v>
      </c>
      <c r="Q86" s="247">
        <v>0</v>
      </c>
      <c r="R86" s="251">
        <f t="shared" si="139"/>
        <v>0</v>
      </c>
      <c r="S86" s="247">
        <v>0</v>
      </c>
      <c r="T86" s="383">
        <f t="shared" si="140"/>
        <v>0</v>
      </c>
      <c r="U86" s="384">
        <v>8141</v>
      </c>
      <c r="V86" s="247">
        <f t="shared" si="141"/>
        <v>0</v>
      </c>
      <c r="W86" s="251">
        <f t="shared" si="142"/>
        <v>0</v>
      </c>
      <c r="X86" s="247">
        <f t="shared" si="143"/>
        <v>0</v>
      </c>
      <c r="Y86" s="251">
        <f t="shared" si="144"/>
        <v>0</v>
      </c>
      <c r="Z86" s="247">
        <v>0</v>
      </c>
      <c r="AA86" s="251">
        <f t="shared" si="145"/>
        <v>0</v>
      </c>
      <c r="AB86" s="247">
        <v>0</v>
      </c>
      <c r="AC86" s="251">
        <f t="shared" si="146"/>
        <v>0</v>
      </c>
      <c r="AD86" s="247">
        <v>0</v>
      </c>
      <c r="AE86" s="251">
        <f t="shared" si="147"/>
        <v>0</v>
      </c>
      <c r="AF86" s="247">
        <v>0</v>
      </c>
      <c r="AG86" s="251">
        <f t="shared" si="148"/>
        <v>0</v>
      </c>
      <c r="AH86" s="247">
        <v>0</v>
      </c>
      <c r="AI86" s="251">
        <f t="shared" si="149"/>
        <v>0</v>
      </c>
      <c r="AJ86" s="247">
        <v>0</v>
      </c>
      <c r="AK86" s="251">
        <f t="shared" si="150"/>
        <v>0</v>
      </c>
    </row>
    <row r="87" spans="1:37" s="343" customFormat="1" ht="14.15" customHeight="1" thickTop="1">
      <c r="A87" s="912"/>
      <c r="B87" s="252"/>
      <c r="C87" s="385" t="s">
        <v>34</v>
      </c>
      <c r="D87" s="259">
        <f>+SUM(D82:D86)</f>
        <v>923188</v>
      </c>
      <c r="E87" s="259">
        <f>+SUM(E82:E86)</f>
        <v>50300</v>
      </c>
      <c r="F87" s="261">
        <f>+ROUND(E87/$D87*100,1)</f>
        <v>5.4</v>
      </c>
      <c r="G87" s="259">
        <f>+SUM(G82:G86)</f>
        <v>43276</v>
      </c>
      <c r="H87" s="261">
        <f>+ROUND(G87/$D87*100,1)</f>
        <v>4.7</v>
      </c>
      <c r="I87" s="259">
        <f>+SUM(I82:I86)</f>
        <v>8471</v>
      </c>
      <c r="J87" s="261">
        <f>+ROUND(I87/$D87*100,1)</f>
        <v>0.9</v>
      </c>
      <c r="K87" s="259">
        <f>+SUM(K82:K86)</f>
        <v>1598</v>
      </c>
      <c r="L87" s="261">
        <f>+ROUND(K87/$D87*100,1)</f>
        <v>0.2</v>
      </c>
      <c r="M87" s="259">
        <f>+SUM(M82:M86)</f>
        <v>277</v>
      </c>
      <c r="N87" s="261">
        <f>+ROUND(M87/$D87*100,1)</f>
        <v>0</v>
      </c>
      <c r="O87" s="259">
        <f>+SUM(O82:O86)</f>
        <v>5426</v>
      </c>
      <c r="P87" s="261">
        <f>+ROUND(O87/$D87*100,1)</f>
        <v>0.6</v>
      </c>
      <c r="Q87" s="259">
        <f>+SUM(Q82:Q86)</f>
        <v>34294</v>
      </c>
      <c r="R87" s="261">
        <f>+ROUND(Q87/$D87*100,1)</f>
        <v>3.7</v>
      </c>
      <c r="S87" s="259">
        <f>+SUM(S82:S86)</f>
        <v>234</v>
      </c>
      <c r="T87" s="386">
        <f>+ROUND(S87/$D87*100,1)</f>
        <v>0</v>
      </c>
      <c r="U87" s="259">
        <f>+SUM(U82:U86)</f>
        <v>158275</v>
      </c>
      <c r="V87" s="259">
        <f>+SUM(V82:V86)</f>
        <v>15269</v>
      </c>
      <c r="W87" s="261">
        <f>+ROUND(V87/$U87*100,1)</f>
        <v>9.6</v>
      </c>
      <c r="X87" s="259">
        <f>+SUM(X82:X86)</f>
        <v>13277</v>
      </c>
      <c r="Y87" s="261">
        <f>+ROUND(X87/$U87*100,1)</f>
        <v>8.4</v>
      </c>
      <c r="Z87" s="259">
        <f>SUM(Z82:Z86)</f>
        <v>3251</v>
      </c>
      <c r="AA87" s="261">
        <f>+ROUND(Z87/$U87*100,1)</f>
        <v>2.1</v>
      </c>
      <c r="AB87" s="259">
        <f>SUM(AB82:AB86)</f>
        <v>268</v>
      </c>
      <c r="AC87" s="261">
        <f>+ROUND(AB87/$U87*100,1)</f>
        <v>0.2</v>
      </c>
      <c r="AD87" s="259">
        <f>SUM(AD82:AD86)</f>
        <v>0</v>
      </c>
      <c r="AE87" s="261">
        <f>+ROUND(AD87/$U87*100,1)</f>
        <v>0</v>
      </c>
      <c r="AF87" s="259">
        <f>SUM(AF82:AF86)</f>
        <v>1724</v>
      </c>
      <c r="AG87" s="261">
        <f>+ROUND(AF87/$U87*100,1)</f>
        <v>1.1000000000000001</v>
      </c>
      <c r="AH87" s="259">
        <f>SUM(AH82:AH86)</f>
        <v>10000</v>
      </c>
      <c r="AI87" s="261">
        <f>+ROUND(AH87/$U87*100,1)</f>
        <v>6.3</v>
      </c>
      <c r="AJ87" s="259">
        <f>SUM(AJ82:AJ86)</f>
        <v>26</v>
      </c>
      <c r="AK87" s="261">
        <f>+ROUND(AJ87/$U87*100,1)</f>
        <v>0</v>
      </c>
    </row>
    <row r="88" spans="1:37" s="343" customFormat="1" ht="14.15" customHeight="1">
      <c r="A88" s="912"/>
      <c r="B88" s="263"/>
      <c r="C88" s="357"/>
      <c r="D88" s="270"/>
      <c r="E88" s="270"/>
      <c r="F88" s="272"/>
      <c r="G88" s="270"/>
      <c r="H88" s="270"/>
      <c r="I88" s="270"/>
      <c r="J88" s="270"/>
      <c r="K88" s="270"/>
      <c r="L88" s="270"/>
      <c r="M88" s="270"/>
      <c r="N88" s="272"/>
      <c r="O88" s="270"/>
      <c r="P88" s="270"/>
      <c r="Q88" s="270"/>
      <c r="R88" s="270"/>
      <c r="S88" s="270"/>
      <c r="T88" s="2108"/>
      <c r="U88" s="388"/>
      <c r="V88" s="270"/>
      <c r="W88" s="272"/>
      <c r="X88" s="270"/>
      <c r="Y88" s="272"/>
      <c r="Z88" s="270"/>
      <c r="AA88" s="272"/>
      <c r="AB88" s="270"/>
      <c r="AC88" s="272"/>
      <c r="AD88" s="270"/>
      <c r="AE88" s="272"/>
      <c r="AF88" s="270"/>
      <c r="AG88" s="272"/>
      <c r="AH88" s="270"/>
      <c r="AI88" s="272"/>
      <c r="AJ88" s="270"/>
      <c r="AK88" s="272"/>
    </row>
    <row r="89" spans="1:37" s="343" customFormat="1" ht="14.15" customHeight="1">
      <c r="A89" s="796" t="s">
        <v>774</v>
      </c>
      <c r="B89" s="351"/>
      <c r="C89" s="352" t="s">
        <v>34</v>
      </c>
      <c r="D89" s="315">
        <f>+D15+D20+D33+D43+D51+D54+D63+D69+D80+D87</f>
        <v>20364012</v>
      </c>
      <c r="E89" s="315">
        <f>+E15+E20+E33+E43+E51+E54+E63+E69+E80+E87</f>
        <v>6109538</v>
      </c>
      <c r="F89" s="316">
        <f>+ROUND(E89/$D89*100,1)</f>
        <v>30</v>
      </c>
      <c r="G89" s="315">
        <f>+G15+G20+G33+G43+G51+G54+G63+G69+G80+G87</f>
        <v>2375559</v>
      </c>
      <c r="H89" s="316">
        <f>+ROUND(G89/$D89*100,1)</f>
        <v>11.7</v>
      </c>
      <c r="I89" s="315">
        <f>+I15+I20+I33+I43+I51+I54+I63+I69+I80+I87</f>
        <v>743195</v>
      </c>
      <c r="J89" s="316">
        <f>+ROUND(I89/$D89*100,1)</f>
        <v>3.6</v>
      </c>
      <c r="K89" s="315">
        <f>+K15+K20+K33+K43+K51+K54+K63+K69+K80+K87</f>
        <v>3586156</v>
      </c>
      <c r="L89" s="316">
        <f>+ROUND(K89/$D89*100,1)</f>
        <v>17.600000000000001</v>
      </c>
      <c r="M89" s="315">
        <f>+M15+M20+M33+M43+M51+M54+M63+M69+M80+M87</f>
        <v>251409</v>
      </c>
      <c r="N89" s="316">
        <f>+ROUND(M89/$D89*100,1)</f>
        <v>1.2</v>
      </c>
      <c r="O89" s="315">
        <f>+O15+O20+O33+O43+O51+O54+O63+O69+O80+O87</f>
        <v>147823</v>
      </c>
      <c r="P89" s="316">
        <f>+ROUND(O89/$D89*100,1)</f>
        <v>0.7</v>
      </c>
      <c r="Q89" s="315">
        <f>+Q15+Q20+Q33+Q43+Q51+Q54+Q63+Q69+Q80+Q87</f>
        <v>1358300</v>
      </c>
      <c r="R89" s="316">
        <f>+ROUND(Q89/$D89*100,1)</f>
        <v>6.7</v>
      </c>
      <c r="S89" s="315">
        <f>+S15+S20+S33+S43+S51+S54+S63+S69+S80+S87</f>
        <v>22655</v>
      </c>
      <c r="T89" s="393">
        <f>+ROUND(S89/$D89*100,1)</f>
        <v>0.1</v>
      </c>
      <c r="U89" s="315">
        <f>+U15+U20+U33+U43+U51+U54+U63+U69+U80+U87</f>
        <v>3123628</v>
      </c>
      <c r="V89" s="315">
        <f>+V15+V20+V33+V43+V51+V54+V63+V69+V80+V87</f>
        <v>1131409</v>
      </c>
      <c r="W89" s="316">
        <f>+ROUND(V89/$U89*100,1)</f>
        <v>36.200000000000003</v>
      </c>
      <c r="X89" s="315">
        <f>+X15+X20+X33+X43+X51+X54+X63+X69+X80+X87</f>
        <v>674629</v>
      </c>
      <c r="Y89" s="316">
        <f>+ROUND(X89/$U89*100,1)</f>
        <v>21.6</v>
      </c>
      <c r="Z89" s="315">
        <f>+Z15+Z20+Z33+Z43+Z51+Z54+Z63+Z69+Z80+Z87</f>
        <v>260293</v>
      </c>
      <c r="AA89" s="316">
        <f>+ROUND(Z89/$U89*100,1)</f>
        <v>8.3000000000000007</v>
      </c>
      <c r="AB89" s="315">
        <f>+AB15+AB20+AB33+AB43+AB51+AB54+AB63+AB69+AB80+AB87</f>
        <v>434285</v>
      </c>
      <c r="AC89" s="316">
        <f>+ROUND(AB89/$U89*100,1)</f>
        <v>13.9</v>
      </c>
      <c r="AD89" s="315">
        <f>+AD15+AD20+AD33+AD43+AD51+AD54+AD63+AD69+AD80+AD87</f>
        <v>171548</v>
      </c>
      <c r="AE89" s="316">
        <f>+ROUND(AD89/$U89*100,1)</f>
        <v>5.5</v>
      </c>
      <c r="AF89" s="315">
        <f>+AF15+AF20+AF33+AF43+AF51+AF54+AF63+AF69+AF80+AF87</f>
        <v>22495</v>
      </c>
      <c r="AG89" s="316">
        <f>+ROUND(AF89/$U89*100,1)</f>
        <v>0.7</v>
      </c>
      <c r="AH89" s="315">
        <f>+AH15+AH20+AH33+AH43+AH51+AH54+AH63+AH69+AH80+AH87</f>
        <v>239175</v>
      </c>
      <c r="AI89" s="316">
        <f>+ROUND(AH89/$U89*100,1)</f>
        <v>7.7</v>
      </c>
      <c r="AJ89" s="315">
        <f>+AJ15+AJ20+AJ33+AJ43+AJ51+AJ54+AJ63+AJ69+AJ80+AJ87</f>
        <v>3613</v>
      </c>
      <c r="AK89" s="316">
        <f>+ROUND(AJ89/$U89*100,1)</f>
        <v>0.1</v>
      </c>
    </row>
    <row r="90" spans="1:37" s="343" customFormat="1" ht="14.15" customHeight="1">
      <c r="F90" s="354"/>
      <c r="H90" s="354"/>
      <c r="I90" s="394"/>
      <c r="J90" s="354"/>
      <c r="L90" s="354"/>
      <c r="N90" s="354"/>
      <c r="P90" s="354"/>
      <c r="R90" s="354"/>
      <c r="T90" s="354"/>
      <c r="W90" s="354"/>
      <c r="Y90" s="354"/>
      <c r="AA90" s="354"/>
      <c r="AC90" s="354"/>
      <c r="AE90" s="354"/>
      <c r="AG90" s="354"/>
      <c r="AI90" s="354"/>
      <c r="AK90" s="354"/>
    </row>
    <row r="91" spans="1:37" s="343" customFormat="1" ht="14.15" customHeight="1">
      <c r="F91" s="354"/>
      <c r="H91" s="354"/>
      <c r="I91" s="354"/>
      <c r="J91" s="354"/>
      <c r="K91" s="354"/>
      <c r="L91" s="354"/>
      <c r="M91" s="354"/>
      <c r="N91" s="354"/>
      <c r="O91" s="354"/>
      <c r="P91" s="354"/>
      <c r="Q91" s="354"/>
      <c r="R91" s="354"/>
      <c r="S91" s="354"/>
      <c r="T91" s="354"/>
      <c r="W91" s="354"/>
      <c r="Y91" s="354"/>
      <c r="Z91" s="354"/>
      <c r="AA91" s="354"/>
      <c r="AB91" s="354"/>
      <c r="AC91" s="354"/>
      <c r="AD91" s="354"/>
      <c r="AE91" s="354"/>
      <c r="AF91" s="354"/>
      <c r="AG91" s="354"/>
      <c r="AH91" s="354"/>
      <c r="AI91" s="354"/>
      <c r="AJ91" s="354"/>
      <c r="AK91" s="354"/>
    </row>
    <row r="92" spans="1:37" s="343" customFormat="1" ht="14.15" customHeight="1">
      <c r="F92" s="354"/>
      <c r="H92" s="354"/>
      <c r="I92" s="354"/>
      <c r="J92" s="354"/>
      <c r="K92" s="354"/>
      <c r="L92" s="354"/>
      <c r="M92" s="354"/>
      <c r="N92" s="354"/>
      <c r="O92" s="354"/>
      <c r="P92" s="354"/>
      <c r="Q92" s="354"/>
      <c r="R92" s="354"/>
      <c r="S92" s="354"/>
      <c r="T92" s="354"/>
      <c r="W92" s="354"/>
      <c r="Y92" s="354"/>
      <c r="Z92" s="354"/>
      <c r="AA92" s="354"/>
      <c r="AB92" s="354"/>
      <c r="AC92" s="354"/>
      <c r="AD92" s="354"/>
      <c r="AE92" s="354"/>
      <c r="AF92" s="354"/>
      <c r="AG92" s="354"/>
      <c r="AH92" s="354"/>
      <c r="AI92" s="354"/>
      <c r="AJ92" s="354"/>
      <c r="AK92" s="354"/>
    </row>
    <row r="93" spans="1:37" s="343" customFormat="1" ht="14.15" customHeight="1">
      <c r="F93" s="354"/>
      <c r="H93" s="354"/>
      <c r="I93" s="354"/>
      <c r="J93" s="354"/>
      <c r="K93" s="354"/>
      <c r="L93" s="354"/>
      <c r="M93" s="354"/>
      <c r="N93" s="354"/>
      <c r="O93" s="354"/>
      <c r="P93" s="354"/>
      <c r="Q93" s="354"/>
      <c r="R93" s="354"/>
      <c r="S93" s="354"/>
      <c r="T93" s="354"/>
      <c r="W93" s="354"/>
      <c r="Y93" s="354"/>
      <c r="Z93" s="354"/>
      <c r="AA93" s="354"/>
      <c r="AB93" s="354"/>
      <c r="AC93" s="354"/>
      <c r="AD93" s="354"/>
      <c r="AE93" s="354"/>
      <c r="AF93" s="354"/>
      <c r="AG93" s="354"/>
      <c r="AH93" s="354"/>
      <c r="AI93" s="354"/>
      <c r="AJ93" s="354"/>
      <c r="AK93" s="354"/>
    </row>
    <row r="94" spans="1:37" s="343" customFormat="1" ht="14.15" customHeight="1">
      <c r="F94" s="354"/>
      <c r="H94" s="354"/>
      <c r="I94" s="354"/>
      <c r="J94" s="354"/>
      <c r="K94" s="354"/>
      <c r="L94" s="354"/>
      <c r="M94" s="354"/>
      <c r="N94" s="354"/>
      <c r="O94" s="354"/>
      <c r="P94" s="354"/>
      <c r="Q94" s="354"/>
      <c r="R94" s="354"/>
      <c r="S94" s="354"/>
      <c r="T94" s="354"/>
      <c r="W94" s="354"/>
      <c r="Y94" s="354"/>
      <c r="Z94" s="354"/>
      <c r="AA94" s="354"/>
      <c r="AB94" s="354"/>
      <c r="AC94" s="354"/>
      <c r="AD94" s="354"/>
      <c r="AE94" s="354"/>
      <c r="AF94" s="354"/>
      <c r="AG94" s="354"/>
      <c r="AH94" s="354"/>
      <c r="AI94" s="354"/>
      <c r="AJ94" s="354"/>
      <c r="AK94" s="354"/>
    </row>
    <row r="95" spans="1:37" s="343" customFormat="1" ht="14.15" customHeight="1">
      <c r="F95" s="354"/>
      <c r="H95" s="354"/>
      <c r="I95" s="354"/>
      <c r="J95" s="354"/>
      <c r="K95" s="354"/>
      <c r="L95" s="354"/>
      <c r="M95" s="354"/>
      <c r="N95" s="354"/>
      <c r="O95" s="354"/>
      <c r="P95" s="354"/>
      <c r="Q95" s="354"/>
      <c r="R95" s="354"/>
      <c r="S95" s="354"/>
      <c r="T95" s="354"/>
      <c r="W95" s="354"/>
      <c r="Y95" s="354"/>
      <c r="Z95" s="354"/>
      <c r="AA95" s="354"/>
      <c r="AB95" s="354"/>
      <c r="AC95" s="354"/>
      <c r="AD95" s="354"/>
      <c r="AE95" s="354"/>
      <c r="AF95" s="354"/>
      <c r="AG95" s="354"/>
      <c r="AH95" s="354"/>
      <c r="AI95" s="354"/>
      <c r="AJ95" s="354"/>
      <c r="AK95" s="354"/>
    </row>
    <row r="96" spans="1:37" s="343" customFormat="1" ht="14.15" customHeight="1">
      <c r="F96" s="354"/>
      <c r="H96" s="354"/>
      <c r="I96" s="354"/>
      <c r="J96" s="354"/>
      <c r="K96" s="354"/>
      <c r="L96" s="354"/>
      <c r="M96" s="354"/>
      <c r="N96" s="354"/>
      <c r="O96" s="354"/>
      <c r="P96" s="354"/>
      <c r="Q96" s="354"/>
      <c r="R96" s="354"/>
      <c r="S96" s="354"/>
      <c r="T96" s="354"/>
      <c r="W96" s="354"/>
      <c r="Y96" s="354"/>
      <c r="Z96" s="354"/>
      <c r="AA96" s="354"/>
      <c r="AB96" s="354"/>
      <c r="AC96" s="354"/>
      <c r="AD96" s="354"/>
      <c r="AE96" s="354"/>
      <c r="AF96" s="354"/>
      <c r="AG96" s="354"/>
      <c r="AH96" s="354"/>
      <c r="AI96" s="354"/>
      <c r="AJ96" s="354"/>
      <c r="AK96" s="354"/>
    </row>
    <row r="97" spans="6:37" s="343" customFormat="1" ht="14.15" customHeight="1">
      <c r="F97" s="354"/>
      <c r="H97" s="354"/>
      <c r="I97" s="354"/>
      <c r="J97" s="354"/>
      <c r="K97" s="354"/>
      <c r="L97" s="354"/>
      <c r="M97" s="354"/>
      <c r="N97" s="354"/>
      <c r="O97" s="354"/>
      <c r="P97" s="354"/>
      <c r="Q97" s="354"/>
      <c r="R97" s="354"/>
      <c r="S97" s="354"/>
      <c r="T97" s="354"/>
      <c r="W97" s="354"/>
      <c r="Y97" s="354"/>
      <c r="Z97" s="354"/>
      <c r="AA97" s="354"/>
      <c r="AB97" s="354"/>
      <c r="AC97" s="354"/>
      <c r="AD97" s="354"/>
      <c r="AE97" s="354"/>
      <c r="AF97" s="354"/>
      <c r="AG97" s="354"/>
      <c r="AH97" s="354"/>
      <c r="AI97" s="354"/>
      <c r="AJ97" s="354"/>
      <c r="AK97" s="354"/>
    </row>
    <row r="98" spans="6:37" ht="14.15" customHeight="1"/>
    <row r="99" spans="6:37" ht="14.15" customHeight="1"/>
    <row r="100" spans="6:37" ht="14.15" customHeight="1"/>
    <row r="101" spans="6:37" ht="14.15" customHeight="1"/>
    <row r="102" spans="6:37" ht="14.15" customHeight="1"/>
    <row r="103" spans="6:37" ht="14.15" customHeight="1"/>
    <row r="104" spans="6:37" ht="14.15" customHeight="1"/>
    <row r="105" spans="6:37" ht="14.15" customHeight="1"/>
    <row r="106" spans="6:37" ht="14.15" customHeight="1"/>
    <row r="107" spans="6:37" ht="14.15" customHeight="1"/>
    <row r="108" spans="6:37" ht="14.15" customHeight="1"/>
    <row r="109" spans="6:37" ht="14.15" customHeight="1"/>
    <row r="110" spans="6:37" ht="14.15" customHeight="1"/>
    <row r="111" spans="6:37" ht="14.15" customHeight="1"/>
    <row r="112" spans="6:37" ht="14.15" customHeight="1"/>
    <row r="113" ht="14.15" customHeight="1"/>
    <row r="114" ht="14.15" customHeight="1"/>
    <row r="115" ht="14.15" customHeight="1"/>
    <row r="116" ht="14.15" customHeight="1"/>
    <row r="117" ht="14.15" customHeight="1"/>
    <row r="118" ht="14.15" customHeight="1"/>
    <row r="119" ht="14.15" customHeight="1"/>
    <row r="120" ht="14.15" customHeight="1"/>
    <row r="121" ht="14.15" customHeight="1"/>
    <row r="122" ht="14.15" customHeight="1"/>
    <row r="123" ht="14.15" customHeight="1"/>
    <row r="124" ht="14.15" customHeight="1"/>
    <row r="125" ht="14.15" customHeight="1"/>
    <row r="126" ht="14.15" customHeight="1"/>
    <row r="127" ht="14.15" customHeight="1"/>
    <row r="128" ht="14.15" customHeight="1"/>
    <row r="129" ht="14.15" customHeight="1"/>
    <row r="130" ht="14.15" customHeight="1"/>
    <row r="131" ht="14.15" customHeight="1"/>
    <row r="132" ht="14.15" customHeight="1"/>
    <row r="133" ht="14.15" customHeight="1"/>
    <row r="134" ht="14.15" customHeight="1"/>
    <row r="135" ht="14.15" customHeight="1"/>
    <row r="136" ht="14.15" customHeight="1"/>
    <row r="137" ht="14.15" customHeight="1"/>
    <row r="138" ht="14.15" customHeight="1"/>
    <row r="139" ht="14.15" customHeight="1"/>
    <row r="140" ht="14.15" customHeight="1"/>
    <row r="141" ht="14.15" customHeight="1"/>
    <row r="142" ht="14.15" customHeight="1"/>
    <row r="143" ht="14.15" customHeight="1"/>
    <row r="144" ht="14.15" customHeight="1"/>
    <row r="145" ht="14.15" customHeight="1"/>
    <row r="146" ht="14.15" customHeight="1"/>
    <row r="147" ht="14.15" customHeight="1"/>
    <row r="148" ht="14.15" customHeight="1"/>
    <row r="149" ht="14.15" customHeight="1"/>
    <row r="150" ht="14.15" customHeight="1"/>
    <row r="151" ht="14.15" customHeight="1"/>
    <row r="152" ht="14.15" customHeight="1"/>
    <row r="153" ht="14.15" customHeight="1"/>
    <row r="154" ht="14.15" customHeight="1"/>
    <row r="155" ht="14.15" customHeight="1"/>
    <row r="156" ht="14.15" customHeight="1"/>
    <row r="157" ht="14.15" customHeight="1"/>
    <row r="158" ht="14.15" customHeight="1"/>
    <row r="159" ht="14.15" customHeight="1"/>
    <row r="16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sheetData>
  <mergeCells count="47">
    <mergeCell ref="A53:A55"/>
    <mergeCell ref="A56:A64"/>
    <mergeCell ref="A65:A70"/>
    <mergeCell ref="A71:A81"/>
    <mergeCell ref="A82:A88"/>
    <mergeCell ref="AJ6:AK6"/>
    <mergeCell ref="A8:A16"/>
    <mergeCell ref="A17:A21"/>
    <mergeCell ref="A22:A34"/>
    <mergeCell ref="A35:A44"/>
    <mergeCell ref="A45:A52"/>
    <mergeCell ref="X6:Y6"/>
    <mergeCell ref="Z6:AA6"/>
    <mergeCell ref="AB6:AC6"/>
    <mergeCell ref="AD6:AE6"/>
    <mergeCell ref="AF6:AG6"/>
    <mergeCell ref="AH6:AI6"/>
    <mergeCell ref="Z5:AC5"/>
    <mergeCell ref="AD5:AE5"/>
    <mergeCell ref="AF5:AG5"/>
    <mergeCell ref="AH5:AI5"/>
    <mergeCell ref="AJ5:AK5"/>
    <mergeCell ref="E6:F6"/>
    <mergeCell ref="G6:H6"/>
    <mergeCell ref="I6:J6"/>
    <mergeCell ref="K6:L6"/>
    <mergeCell ref="M6:N6"/>
    <mergeCell ref="M5:N5"/>
    <mergeCell ref="O5:P5"/>
    <mergeCell ref="Q5:R5"/>
    <mergeCell ref="S5:T5"/>
    <mergeCell ref="U5:U7"/>
    <mergeCell ref="V5:Y5"/>
    <mergeCell ref="O6:P6"/>
    <mergeCell ref="Q6:R6"/>
    <mergeCell ref="S6:T6"/>
    <mergeCell ref="V6:W6"/>
    <mergeCell ref="A3:A7"/>
    <mergeCell ref="B3:B7"/>
    <mergeCell ref="C3:C7"/>
    <mergeCell ref="D3:T3"/>
    <mergeCell ref="U3:AK3"/>
    <mergeCell ref="D4:D7"/>
    <mergeCell ref="I4:T4"/>
    <mergeCell ref="Z4:AK4"/>
    <mergeCell ref="E5:H5"/>
    <mergeCell ref="I5:L5"/>
  </mergeCells>
  <phoneticPr fontId="6"/>
  <pageMargins left="0.78740157480314965" right="0.19685039370078741" top="0.59055118110236227" bottom="0.59055118110236227" header="0.51181102362204722" footer="0.55118110236220474"/>
  <pageSetup paperSize="9" scale="84" pageOrder="overThenDown" orientation="portrait" r:id="rId1"/>
  <headerFooter alignWithMargins="0"/>
  <rowBreaks count="1" manualBreakCount="1">
    <brk id="55" max="16383" man="1"/>
  </rowBreaks>
  <colBreaks count="1" manualBreakCount="1">
    <brk id="18"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B978E1-3A86-49D0-9E41-FF60CB6BA66D}">
  <sheetPr>
    <pageSetUpPr fitToPage="1"/>
  </sheetPr>
  <dimension ref="A1:N202"/>
  <sheetViews>
    <sheetView view="pageBreakPreview" zoomScale="80" zoomScaleNormal="100" zoomScaleSheetLayoutView="80" workbookViewId="0">
      <pane xSplit="3" ySplit="4" topLeftCell="D5" activePane="bottomRight" state="frozen"/>
      <selection pane="topRight" activeCell="D1" sqref="D1"/>
      <selection pane="bottomLeft" activeCell="A5" sqref="A5"/>
      <selection pane="bottomRight"/>
    </sheetView>
  </sheetViews>
  <sheetFormatPr defaultRowHeight="11"/>
  <cols>
    <col min="1" max="1" width="5.6328125" style="150" customWidth="1"/>
    <col min="2" max="2" width="3" style="150" customWidth="1"/>
    <col min="3" max="3" width="15.36328125" style="150" customWidth="1"/>
    <col min="4" max="5" width="9.36328125" style="150" customWidth="1"/>
    <col min="6" max="6" width="6.26953125" style="179" customWidth="1"/>
    <col min="7" max="7" width="9.36328125" style="150" customWidth="1"/>
    <col min="8" max="8" width="6.36328125" style="179" customWidth="1"/>
    <col min="9" max="9" width="9.36328125" style="179" customWidth="1"/>
    <col min="10" max="10" width="6.26953125" style="179" customWidth="1"/>
    <col min="11" max="11" width="9.36328125" style="179" customWidth="1"/>
    <col min="12" max="12" width="6.26953125" style="415" customWidth="1"/>
    <col min="13" max="256" width="8.7265625" style="150"/>
    <col min="257" max="257" width="5.6328125" style="150" customWidth="1"/>
    <col min="258" max="258" width="3" style="150" customWidth="1"/>
    <col min="259" max="259" width="15.36328125" style="150" customWidth="1"/>
    <col min="260" max="261" width="9.36328125" style="150" customWidth="1"/>
    <col min="262" max="262" width="6.26953125" style="150" customWidth="1"/>
    <col min="263" max="263" width="9.36328125" style="150" customWidth="1"/>
    <col min="264" max="264" width="6.36328125" style="150" customWidth="1"/>
    <col min="265" max="265" width="9.36328125" style="150" customWidth="1"/>
    <col min="266" max="266" width="6.26953125" style="150" customWidth="1"/>
    <col min="267" max="267" width="9.36328125" style="150" customWidth="1"/>
    <col min="268" max="268" width="6.26953125" style="150" customWidth="1"/>
    <col min="269" max="512" width="8.7265625" style="150"/>
    <col min="513" max="513" width="5.6328125" style="150" customWidth="1"/>
    <col min="514" max="514" width="3" style="150" customWidth="1"/>
    <col min="515" max="515" width="15.36328125" style="150" customWidth="1"/>
    <col min="516" max="517" width="9.36328125" style="150" customWidth="1"/>
    <col min="518" max="518" width="6.26953125" style="150" customWidth="1"/>
    <col min="519" max="519" width="9.36328125" style="150" customWidth="1"/>
    <col min="520" max="520" width="6.36328125" style="150" customWidth="1"/>
    <col min="521" max="521" width="9.36328125" style="150" customWidth="1"/>
    <col min="522" max="522" width="6.26953125" style="150" customWidth="1"/>
    <col min="523" max="523" width="9.36328125" style="150" customWidth="1"/>
    <col min="524" max="524" width="6.26953125" style="150" customWidth="1"/>
    <col min="525" max="768" width="8.7265625" style="150"/>
    <col min="769" max="769" width="5.6328125" style="150" customWidth="1"/>
    <col min="770" max="770" width="3" style="150" customWidth="1"/>
    <col min="771" max="771" width="15.36328125" style="150" customWidth="1"/>
    <col min="772" max="773" width="9.36328125" style="150" customWidth="1"/>
    <col min="774" max="774" width="6.26953125" style="150" customWidth="1"/>
    <col min="775" max="775" width="9.36328125" style="150" customWidth="1"/>
    <col min="776" max="776" width="6.36328125" style="150" customWidth="1"/>
    <col min="777" max="777" width="9.36328125" style="150" customWidth="1"/>
    <col min="778" max="778" width="6.26953125" style="150" customWidth="1"/>
    <col min="779" max="779" width="9.36328125" style="150" customWidth="1"/>
    <col min="780" max="780" width="6.26953125" style="150" customWidth="1"/>
    <col min="781" max="1024" width="8.7265625" style="150"/>
    <col min="1025" max="1025" width="5.6328125" style="150" customWidth="1"/>
    <col min="1026" max="1026" width="3" style="150" customWidth="1"/>
    <col min="1027" max="1027" width="15.36328125" style="150" customWidth="1"/>
    <col min="1028" max="1029" width="9.36328125" style="150" customWidth="1"/>
    <col min="1030" max="1030" width="6.26953125" style="150" customWidth="1"/>
    <col min="1031" max="1031" width="9.36328125" style="150" customWidth="1"/>
    <col min="1032" max="1032" width="6.36328125" style="150" customWidth="1"/>
    <col min="1033" max="1033" width="9.36328125" style="150" customWidth="1"/>
    <col min="1034" max="1034" width="6.26953125" style="150" customWidth="1"/>
    <col min="1035" max="1035" width="9.36328125" style="150" customWidth="1"/>
    <col min="1036" max="1036" width="6.26953125" style="150" customWidth="1"/>
    <col min="1037" max="1280" width="8.7265625" style="150"/>
    <col min="1281" max="1281" width="5.6328125" style="150" customWidth="1"/>
    <col min="1282" max="1282" width="3" style="150" customWidth="1"/>
    <col min="1283" max="1283" width="15.36328125" style="150" customWidth="1"/>
    <col min="1284" max="1285" width="9.36328125" style="150" customWidth="1"/>
    <col min="1286" max="1286" width="6.26953125" style="150" customWidth="1"/>
    <col min="1287" max="1287" width="9.36328125" style="150" customWidth="1"/>
    <col min="1288" max="1288" width="6.36328125" style="150" customWidth="1"/>
    <col min="1289" max="1289" width="9.36328125" style="150" customWidth="1"/>
    <col min="1290" max="1290" width="6.26953125" style="150" customWidth="1"/>
    <col min="1291" max="1291" width="9.36328125" style="150" customWidth="1"/>
    <col min="1292" max="1292" width="6.26953125" style="150" customWidth="1"/>
    <col min="1293" max="1536" width="8.7265625" style="150"/>
    <col min="1537" max="1537" width="5.6328125" style="150" customWidth="1"/>
    <col min="1538" max="1538" width="3" style="150" customWidth="1"/>
    <col min="1539" max="1539" width="15.36328125" style="150" customWidth="1"/>
    <col min="1540" max="1541" width="9.36328125" style="150" customWidth="1"/>
    <col min="1542" max="1542" width="6.26953125" style="150" customWidth="1"/>
    <col min="1543" max="1543" width="9.36328125" style="150" customWidth="1"/>
    <col min="1544" max="1544" width="6.36328125" style="150" customWidth="1"/>
    <col min="1545" max="1545" width="9.36328125" style="150" customWidth="1"/>
    <col min="1546" max="1546" width="6.26953125" style="150" customWidth="1"/>
    <col min="1547" max="1547" width="9.36328125" style="150" customWidth="1"/>
    <col min="1548" max="1548" width="6.26953125" style="150" customWidth="1"/>
    <col min="1549" max="1792" width="8.7265625" style="150"/>
    <col min="1793" max="1793" width="5.6328125" style="150" customWidth="1"/>
    <col min="1794" max="1794" width="3" style="150" customWidth="1"/>
    <col min="1795" max="1795" width="15.36328125" style="150" customWidth="1"/>
    <col min="1796" max="1797" width="9.36328125" style="150" customWidth="1"/>
    <col min="1798" max="1798" width="6.26953125" style="150" customWidth="1"/>
    <col min="1799" max="1799" width="9.36328125" style="150" customWidth="1"/>
    <col min="1800" max="1800" width="6.36328125" style="150" customWidth="1"/>
    <col min="1801" max="1801" width="9.36328125" style="150" customWidth="1"/>
    <col min="1802" max="1802" width="6.26953125" style="150" customWidth="1"/>
    <col min="1803" max="1803" width="9.36328125" style="150" customWidth="1"/>
    <col min="1804" max="1804" width="6.26953125" style="150" customWidth="1"/>
    <col min="1805" max="2048" width="8.7265625" style="150"/>
    <col min="2049" max="2049" width="5.6328125" style="150" customWidth="1"/>
    <col min="2050" max="2050" width="3" style="150" customWidth="1"/>
    <col min="2051" max="2051" width="15.36328125" style="150" customWidth="1"/>
    <col min="2052" max="2053" width="9.36328125" style="150" customWidth="1"/>
    <col min="2054" max="2054" width="6.26953125" style="150" customWidth="1"/>
    <col min="2055" max="2055" width="9.36328125" style="150" customWidth="1"/>
    <col min="2056" max="2056" width="6.36328125" style="150" customWidth="1"/>
    <col min="2057" max="2057" width="9.36328125" style="150" customWidth="1"/>
    <col min="2058" max="2058" width="6.26953125" style="150" customWidth="1"/>
    <col min="2059" max="2059" width="9.36328125" style="150" customWidth="1"/>
    <col min="2060" max="2060" width="6.26953125" style="150" customWidth="1"/>
    <col min="2061" max="2304" width="8.7265625" style="150"/>
    <col min="2305" max="2305" width="5.6328125" style="150" customWidth="1"/>
    <col min="2306" max="2306" width="3" style="150" customWidth="1"/>
    <col min="2307" max="2307" width="15.36328125" style="150" customWidth="1"/>
    <col min="2308" max="2309" width="9.36328125" style="150" customWidth="1"/>
    <col min="2310" max="2310" width="6.26953125" style="150" customWidth="1"/>
    <col min="2311" max="2311" width="9.36328125" style="150" customWidth="1"/>
    <col min="2312" max="2312" width="6.36328125" style="150" customWidth="1"/>
    <col min="2313" max="2313" width="9.36328125" style="150" customWidth="1"/>
    <col min="2314" max="2314" width="6.26953125" style="150" customWidth="1"/>
    <col min="2315" max="2315" width="9.36328125" style="150" customWidth="1"/>
    <col min="2316" max="2316" width="6.26953125" style="150" customWidth="1"/>
    <col min="2317" max="2560" width="8.7265625" style="150"/>
    <col min="2561" max="2561" width="5.6328125" style="150" customWidth="1"/>
    <col min="2562" max="2562" width="3" style="150" customWidth="1"/>
    <col min="2563" max="2563" width="15.36328125" style="150" customWidth="1"/>
    <col min="2564" max="2565" width="9.36328125" style="150" customWidth="1"/>
    <col min="2566" max="2566" width="6.26953125" style="150" customWidth="1"/>
    <col min="2567" max="2567" width="9.36328125" style="150" customWidth="1"/>
    <col min="2568" max="2568" width="6.36328125" style="150" customWidth="1"/>
    <col min="2569" max="2569" width="9.36328125" style="150" customWidth="1"/>
    <col min="2570" max="2570" width="6.26953125" style="150" customWidth="1"/>
    <col min="2571" max="2571" width="9.36328125" style="150" customWidth="1"/>
    <col min="2572" max="2572" width="6.26953125" style="150" customWidth="1"/>
    <col min="2573" max="2816" width="8.7265625" style="150"/>
    <col min="2817" max="2817" width="5.6328125" style="150" customWidth="1"/>
    <col min="2818" max="2818" width="3" style="150" customWidth="1"/>
    <col min="2819" max="2819" width="15.36328125" style="150" customWidth="1"/>
    <col min="2820" max="2821" width="9.36328125" style="150" customWidth="1"/>
    <col min="2822" max="2822" width="6.26953125" style="150" customWidth="1"/>
    <col min="2823" max="2823" width="9.36328125" style="150" customWidth="1"/>
    <col min="2824" max="2824" width="6.36328125" style="150" customWidth="1"/>
    <col min="2825" max="2825" width="9.36328125" style="150" customWidth="1"/>
    <col min="2826" max="2826" width="6.26953125" style="150" customWidth="1"/>
    <col min="2827" max="2827" width="9.36328125" style="150" customWidth="1"/>
    <col min="2828" max="2828" width="6.26953125" style="150" customWidth="1"/>
    <col min="2829" max="3072" width="8.7265625" style="150"/>
    <col min="3073" max="3073" width="5.6328125" style="150" customWidth="1"/>
    <col min="3074" max="3074" width="3" style="150" customWidth="1"/>
    <col min="3075" max="3075" width="15.36328125" style="150" customWidth="1"/>
    <col min="3076" max="3077" width="9.36328125" style="150" customWidth="1"/>
    <col min="3078" max="3078" width="6.26953125" style="150" customWidth="1"/>
    <col min="3079" max="3079" width="9.36328125" style="150" customWidth="1"/>
    <col min="3080" max="3080" width="6.36328125" style="150" customWidth="1"/>
    <col min="3081" max="3081" width="9.36328125" style="150" customWidth="1"/>
    <col min="3082" max="3082" width="6.26953125" style="150" customWidth="1"/>
    <col min="3083" max="3083" width="9.36328125" style="150" customWidth="1"/>
    <col min="3084" max="3084" width="6.26953125" style="150" customWidth="1"/>
    <col min="3085" max="3328" width="8.7265625" style="150"/>
    <col min="3329" max="3329" width="5.6328125" style="150" customWidth="1"/>
    <col min="3330" max="3330" width="3" style="150" customWidth="1"/>
    <col min="3331" max="3331" width="15.36328125" style="150" customWidth="1"/>
    <col min="3332" max="3333" width="9.36328125" style="150" customWidth="1"/>
    <col min="3334" max="3334" width="6.26953125" style="150" customWidth="1"/>
    <col min="3335" max="3335" width="9.36328125" style="150" customWidth="1"/>
    <col min="3336" max="3336" width="6.36328125" style="150" customWidth="1"/>
    <col min="3337" max="3337" width="9.36328125" style="150" customWidth="1"/>
    <col min="3338" max="3338" width="6.26953125" style="150" customWidth="1"/>
    <col min="3339" max="3339" width="9.36328125" style="150" customWidth="1"/>
    <col min="3340" max="3340" width="6.26953125" style="150" customWidth="1"/>
    <col min="3341" max="3584" width="8.7265625" style="150"/>
    <col min="3585" max="3585" width="5.6328125" style="150" customWidth="1"/>
    <col min="3586" max="3586" width="3" style="150" customWidth="1"/>
    <col min="3587" max="3587" width="15.36328125" style="150" customWidth="1"/>
    <col min="3588" max="3589" width="9.36328125" style="150" customWidth="1"/>
    <col min="3590" max="3590" width="6.26953125" style="150" customWidth="1"/>
    <col min="3591" max="3591" width="9.36328125" style="150" customWidth="1"/>
    <col min="3592" max="3592" width="6.36328125" style="150" customWidth="1"/>
    <col min="3593" max="3593" width="9.36328125" style="150" customWidth="1"/>
    <col min="3594" max="3594" width="6.26953125" style="150" customWidth="1"/>
    <col min="3595" max="3595" width="9.36328125" style="150" customWidth="1"/>
    <col min="3596" max="3596" width="6.26953125" style="150" customWidth="1"/>
    <col min="3597" max="3840" width="8.7265625" style="150"/>
    <col min="3841" max="3841" width="5.6328125" style="150" customWidth="1"/>
    <col min="3842" max="3842" width="3" style="150" customWidth="1"/>
    <col min="3843" max="3843" width="15.36328125" style="150" customWidth="1"/>
    <col min="3844" max="3845" width="9.36328125" style="150" customWidth="1"/>
    <col min="3846" max="3846" width="6.26953125" style="150" customWidth="1"/>
    <col min="3847" max="3847" width="9.36328125" style="150" customWidth="1"/>
    <col min="3848" max="3848" width="6.36328125" style="150" customWidth="1"/>
    <col min="3849" max="3849" width="9.36328125" style="150" customWidth="1"/>
    <col min="3850" max="3850" width="6.26953125" style="150" customWidth="1"/>
    <col min="3851" max="3851" width="9.36328125" style="150" customWidth="1"/>
    <col min="3852" max="3852" width="6.26953125" style="150" customWidth="1"/>
    <col min="3853" max="4096" width="8.7265625" style="150"/>
    <col min="4097" max="4097" width="5.6328125" style="150" customWidth="1"/>
    <col min="4098" max="4098" width="3" style="150" customWidth="1"/>
    <col min="4099" max="4099" width="15.36328125" style="150" customWidth="1"/>
    <col min="4100" max="4101" width="9.36328125" style="150" customWidth="1"/>
    <col min="4102" max="4102" width="6.26953125" style="150" customWidth="1"/>
    <col min="4103" max="4103" width="9.36328125" style="150" customWidth="1"/>
    <col min="4104" max="4104" width="6.36328125" style="150" customWidth="1"/>
    <col min="4105" max="4105" width="9.36328125" style="150" customWidth="1"/>
    <col min="4106" max="4106" width="6.26953125" style="150" customWidth="1"/>
    <col min="4107" max="4107" width="9.36328125" style="150" customWidth="1"/>
    <col min="4108" max="4108" width="6.26953125" style="150" customWidth="1"/>
    <col min="4109" max="4352" width="8.7265625" style="150"/>
    <col min="4353" max="4353" width="5.6328125" style="150" customWidth="1"/>
    <col min="4354" max="4354" width="3" style="150" customWidth="1"/>
    <col min="4355" max="4355" width="15.36328125" style="150" customWidth="1"/>
    <col min="4356" max="4357" width="9.36328125" style="150" customWidth="1"/>
    <col min="4358" max="4358" width="6.26953125" style="150" customWidth="1"/>
    <col min="4359" max="4359" width="9.36328125" style="150" customWidth="1"/>
    <col min="4360" max="4360" width="6.36328125" style="150" customWidth="1"/>
    <col min="4361" max="4361" width="9.36328125" style="150" customWidth="1"/>
    <col min="4362" max="4362" width="6.26953125" style="150" customWidth="1"/>
    <col min="4363" max="4363" width="9.36328125" style="150" customWidth="1"/>
    <col min="4364" max="4364" width="6.26953125" style="150" customWidth="1"/>
    <col min="4365" max="4608" width="8.7265625" style="150"/>
    <col min="4609" max="4609" width="5.6328125" style="150" customWidth="1"/>
    <col min="4610" max="4610" width="3" style="150" customWidth="1"/>
    <col min="4611" max="4611" width="15.36328125" style="150" customWidth="1"/>
    <col min="4612" max="4613" width="9.36328125" style="150" customWidth="1"/>
    <col min="4614" max="4614" width="6.26953125" style="150" customWidth="1"/>
    <col min="4615" max="4615" width="9.36328125" style="150" customWidth="1"/>
    <col min="4616" max="4616" width="6.36328125" style="150" customWidth="1"/>
    <col min="4617" max="4617" width="9.36328125" style="150" customWidth="1"/>
    <col min="4618" max="4618" width="6.26953125" style="150" customWidth="1"/>
    <col min="4619" max="4619" width="9.36328125" style="150" customWidth="1"/>
    <col min="4620" max="4620" width="6.26953125" style="150" customWidth="1"/>
    <col min="4621" max="4864" width="8.7265625" style="150"/>
    <col min="4865" max="4865" width="5.6328125" style="150" customWidth="1"/>
    <col min="4866" max="4866" width="3" style="150" customWidth="1"/>
    <col min="4867" max="4867" width="15.36328125" style="150" customWidth="1"/>
    <col min="4868" max="4869" width="9.36328125" style="150" customWidth="1"/>
    <col min="4870" max="4870" width="6.26953125" style="150" customWidth="1"/>
    <col min="4871" max="4871" width="9.36328125" style="150" customWidth="1"/>
    <col min="4872" max="4872" width="6.36328125" style="150" customWidth="1"/>
    <col min="4873" max="4873" width="9.36328125" style="150" customWidth="1"/>
    <col min="4874" max="4874" width="6.26953125" style="150" customWidth="1"/>
    <col min="4875" max="4875" width="9.36328125" style="150" customWidth="1"/>
    <col min="4876" max="4876" width="6.26953125" style="150" customWidth="1"/>
    <col min="4877" max="5120" width="8.7265625" style="150"/>
    <col min="5121" max="5121" width="5.6328125" style="150" customWidth="1"/>
    <col min="5122" max="5122" width="3" style="150" customWidth="1"/>
    <col min="5123" max="5123" width="15.36328125" style="150" customWidth="1"/>
    <col min="5124" max="5125" width="9.36328125" style="150" customWidth="1"/>
    <col min="5126" max="5126" width="6.26953125" style="150" customWidth="1"/>
    <col min="5127" max="5127" width="9.36328125" style="150" customWidth="1"/>
    <col min="5128" max="5128" width="6.36328125" style="150" customWidth="1"/>
    <col min="5129" max="5129" width="9.36328125" style="150" customWidth="1"/>
    <col min="5130" max="5130" width="6.26953125" style="150" customWidth="1"/>
    <col min="5131" max="5131" width="9.36328125" style="150" customWidth="1"/>
    <col min="5132" max="5132" width="6.26953125" style="150" customWidth="1"/>
    <col min="5133" max="5376" width="8.7265625" style="150"/>
    <col min="5377" max="5377" width="5.6328125" style="150" customWidth="1"/>
    <col min="5378" max="5378" width="3" style="150" customWidth="1"/>
    <col min="5379" max="5379" width="15.36328125" style="150" customWidth="1"/>
    <col min="5380" max="5381" width="9.36328125" style="150" customWidth="1"/>
    <col min="5382" max="5382" width="6.26953125" style="150" customWidth="1"/>
    <col min="5383" max="5383" width="9.36328125" style="150" customWidth="1"/>
    <col min="5384" max="5384" width="6.36328125" style="150" customWidth="1"/>
    <col min="5385" max="5385" width="9.36328125" style="150" customWidth="1"/>
    <col min="5386" max="5386" width="6.26953125" style="150" customWidth="1"/>
    <col min="5387" max="5387" width="9.36328125" style="150" customWidth="1"/>
    <col min="5388" max="5388" width="6.26953125" style="150" customWidth="1"/>
    <col min="5389" max="5632" width="8.7265625" style="150"/>
    <col min="5633" max="5633" width="5.6328125" style="150" customWidth="1"/>
    <col min="5634" max="5634" width="3" style="150" customWidth="1"/>
    <col min="5635" max="5635" width="15.36328125" style="150" customWidth="1"/>
    <col min="5636" max="5637" width="9.36328125" style="150" customWidth="1"/>
    <col min="5638" max="5638" width="6.26953125" style="150" customWidth="1"/>
    <col min="5639" max="5639" width="9.36328125" style="150" customWidth="1"/>
    <col min="5640" max="5640" width="6.36328125" style="150" customWidth="1"/>
    <col min="5641" max="5641" width="9.36328125" style="150" customWidth="1"/>
    <col min="5642" max="5642" width="6.26953125" style="150" customWidth="1"/>
    <col min="5643" max="5643" width="9.36328125" style="150" customWidth="1"/>
    <col min="5644" max="5644" width="6.26953125" style="150" customWidth="1"/>
    <col min="5645" max="5888" width="8.7265625" style="150"/>
    <col min="5889" max="5889" width="5.6328125" style="150" customWidth="1"/>
    <col min="5890" max="5890" width="3" style="150" customWidth="1"/>
    <col min="5891" max="5891" width="15.36328125" style="150" customWidth="1"/>
    <col min="5892" max="5893" width="9.36328125" style="150" customWidth="1"/>
    <col min="5894" max="5894" width="6.26953125" style="150" customWidth="1"/>
    <col min="5895" max="5895" width="9.36328125" style="150" customWidth="1"/>
    <col min="5896" max="5896" width="6.36328125" style="150" customWidth="1"/>
    <col min="5897" max="5897" width="9.36328125" style="150" customWidth="1"/>
    <col min="5898" max="5898" width="6.26953125" style="150" customWidth="1"/>
    <col min="5899" max="5899" width="9.36328125" style="150" customWidth="1"/>
    <col min="5900" max="5900" width="6.26953125" style="150" customWidth="1"/>
    <col min="5901" max="6144" width="8.7265625" style="150"/>
    <col min="6145" max="6145" width="5.6328125" style="150" customWidth="1"/>
    <col min="6146" max="6146" width="3" style="150" customWidth="1"/>
    <col min="6147" max="6147" width="15.36328125" style="150" customWidth="1"/>
    <col min="6148" max="6149" width="9.36328125" style="150" customWidth="1"/>
    <col min="6150" max="6150" width="6.26953125" style="150" customWidth="1"/>
    <col min="6151" max="6151" width="9.36328125" style="150" customWidth="1"/>
    <col min="6152" max="6152" width="6.36328125" style="150" customWidth="1"/>
    <col min="6153" max="6153" width="9.36328125" style="150" customWidth="1"/>
    <col min="6154" max="6154" width="6.26953125" style="150" customWidth="1"/>
    <col min="6155" max="6155" width="9.36328125" style="150" customWidth="1"/>
    <col min="6156" max="6156" width="6.26953125" style="150" customWidth="1"/>
    <col min="6157" max="6400" width="8.7265625" style="150"/>
    <col min="6401" max="6401" width="5.6328125" style="150" customWidth="1"/>
    <col min="6402" max="6402" width="3" style="150" customWidth="1"/>
    <col min="6403" max="6403" width="15.36328125" style="150" customWidth="1"/>
    <col min="6404" max="6405" width="9.36328125" style="150" customWidth="1"/>
    <col min="6406" max="6406" width="6.26953125" style="150" customWidth="1"/>
    <col min="6407" max="6407" width="9.36328125" style="150" customWidth="1"/>
    <col min="6408" max="6408" width="6.36328125" style="150" customWidth="1"/>
    <col min="6409" max="6409" width="9.36328125" style="150" customWidth="1"/>
    <col min="6410" max="6410" width="6.26953125" style="150" customWidth="1"/>
    <col min="6411" max="6411" width="9.36328125" style="150" customWidth="1"/>
    <col min="6412" max="6412" width="6.26953125" style="150" customWidth="1"/>
    <col min="6413" max="6656" width="8.7265625" style="150"/>
    <col min="6657" max="6657" width="5.6328125" style="150" customWidth="1"/>
    <col min="6658" max="6658" width="3" style="150" customWidth="1"/>
    <col min="6659" max="6659" width="15.36328125" style="150" customWidth="1"/>
    <col min="6660" max="6661" width="9.36328125" style="150" customWidth="1"/>
    <col min="6662" max="6662" width="6.26953125" style="150" customWidth="1"/>
    <col min="6663" max="6663" width="9.36328125" style="150" customWidth="1"/>
    <col min="6664" max="6664" width="6.36328125" style="150" customWidth="1"/>
    <col min="6665" max="6665" width="9.36328125" style="150" customWidth="1"/>
    <col min="6666" max="6666" width="6.26953125" style="150" customWidth="1"/>
    <col min="6667" max="6667" width="9.36328125" style="150" customWidth="1"/>
    <col min="6668" max="6668" width="6.26953125" style="150" customWidth="1"/>
    <col min="6669" max="6912" width="8.7265625" style="150"/>
    <col min="6913" max="6913" width="5.6328125" style="150" customWidth="1"/>
    <col min="6914" max="6914" width="3" style="150" customWidth="1"/>
    <col min="6915" max="6915" width="15.36328125" style="150" customWidth="1"/>
    <col min="6916" max="6917" width="9.36328125" style="150" customWidth="1"/>
    <col min="6918" max="6918" width="6.26953125" style="150" customWidth="1"/>
    <col min="6919" max="6919" width="9.36328125" style="150" customWidth="1"/>
    <col min="6920" max="6920" width="6.36328125" style="150" customWidth="1"/>
    <col min="6921" max="6921" width="9.36328125" style="150" customWidth="1"/>
    <col min="6922" max="6922" width="6.26953125" style="150" customWidth="1"/>
    <col min="6923" max="6923" width="9.36328125" style="150" customWidth="1"/>
    <col min="6924" max="6924" width="6.26953125" style="150" customWidth="1"/>
    <col min="6925" max="7168" width="8.7265625" style="150"/>
    <col min="7169" max="7169" width="5.6328125" style="150" customWidth="1"/>
    <col min="7170" max="7170" width="3" style="150" customWidth="1"/>
    <col min="7171" max="7171" width="15.36328125" style="150" customWidth="1"/>
    <col min="7172" max="7173" width="9.36328125" style="150" customWidth="1"/>
    <col min="7174" max="7174" width="6.26953125" style="150" customWidth="1"/>
    <col min="7175" max="7175" width="9.36328125" style="150" customWidth="1"/>
    <col min="7176" max="7176" width="6.36328125" style="150" customWidth="1"/>
    <col min="7177" max="7177" width="9.36328125" style="150" customWidth="1"/>
    <col min="7178" max="7178" width="6.26953125" style="150" customWidth="1"/>
    <col min="7179" max="7179" width="9.36328125" style="150" customWidth="1"/>
    <col min="7180" max="7180" width="6.26953125" style="150" customWidth="1"/>
    <col min="7181" max="7424" width="8.7265625" style="150"/>
    <col min="7425" max="7425" width="5.6328125" style="150" customWidth="1"/>
    <col min="7426" max="7426" width="3" style="150" customWidth="1"/>
    <col min="7427" max="7427" width="15.36328125" style="150" customWidth="1"/>
    <col min="7428" max="7429" width="9.36328125" style="150" customWidth="1"/>
    <col min="7430" max="7430" width="6.26953125" style="150" customWidth="1"/>
    <col min="7431" max="7431" width="9.36328125" style="150" customWidth="1"/>
    <col min="7432" max="7432" width="6.36328125" style="150" customWidth="1"/>
    <col min="7433" max="7433" width="9.36328125" style="150" customWidth="1"/>
    <col min="7434" max="7434" width="6.26953125" style="150" customWidth="1"/>
    <col min="7435" max="7435" width="9.36328125" style="150" customWidth="1"/>
    <col min="7436" max="7436" width="6.26953125" style="150" customWidth="1"/>
    <col min="7437" max="7680" width="8.7265625" style="150"/>
    <col min="7681" max="7681" width="5.6328125" style="150" customWidth="1"/>
    <col min="7682" max="7682" width="3" style="150" customWidth="1"/>
    <col min="7683" max="7683" width="15.36328125" style="150" customWidth="1"/>
    <col min="7684" max="7685" width="9.36328125" style="150" customWidth="1"/>
    <col min="7686" max="7686" width="6.26953125" style="150" customWidth="1"/>
    <col min="7687" max="7687" width="9.36328125" style="150" customWidth="1"/>
    <col min="7688" max="7688" width="6.36328125" style="150" customWidth="1"/>
    <col min="7689" max="7689" width="9.36328125" style="150" customWidth="1"/>
    <col min="7690" max="7690" width="6.26953125" style="150" customWidth="1"/>
    <col min="7691" max="7691" width="9.36328125" style="150" customWidth="1"/>
    <col min="7692" max="7692" width="6.26953125" style="150" customWidth="1"/>
    <col min="7693" max="7936" width="8.7265625" style="150"/>
    <col min="7937" max="7937" width="5.6328125" style="150" customWidth="1"/>
    <col min="7938" max="7938" width="3" style="150" customWidth="1"/>
    <col min="7939" max="7939" width="15.36328125" style="150" customWidth="1"/>
    <col min="7940" max="7941" width="9.36328125" style="150" customWidth="1"/>
    <col min="7942" max="7942" width="6.26953125" style="150" customWidth="1"/>
    <col min="7943" max="7943" width="9.36328125" style="150" customWidth="1"/>
    <col min="7944" max="7944" width="6.36328125" style="150" customWidth="1"/>
    <col min="7945" max="7945" width="9.36328125" style="150" customWidth="1"/>
    <col min="7946" max="7946" width="6.26953125" style="150" customWidth="1"/>
    <col min="7947" max="7947" width="9.36328125" style="150" customWidth="1"/>
    <col min="7948" max="7948" width="6.26953125" style="150" customWidth="1"/>
    <col min="7949" max="8192" width="8.7265625" style="150"/>
    <col min="8193" max="8193" width="5.6328125" style="150" customWidth="1"/>
    <col min="8194" max="8194" width="3" style="150" customWidth="1"/>
    <col min="8195" max="8195" width="15.36328125" style="150" customWidth="1"/>
    <col min="8196" max="8197" width="9.36328125" style="150" customWidth="1"/>
    <col min="8198" max="8198" width="6.26953125" style="150" customWidth="1"/>
    <col min="8199" max="8199" width="9.36328125" style="150" customWidth="1"/>
    <col min="8200" max="8200" width="6.36328125" style="150" customWidth="1"/>
    <col min="8201" max="8201" width="9.36328125" style="150" customWidth="1"/>
    <col min="8202" max="8202" width="6.26953125" style="150" customWidth="1"/>
    <col min="8203" max="8203" width="9.36328125" style="150" customWidth="1"/>
    <col min="8204" max="8204" width="6.26953125" style="150" customWidth="1"/>
    <col min="8205" max="8448" width="8.7265625" style="150"/>
    <col min="8449" max="8449" width="5.6328125" style="150" customWidth="1"/>
    <col min="8450" max="8450" width="3" style="150" customWidth="1"/>
    <col min="8451" max="8451" width="15.36328125" style="150" customWidth="1"/>
    <col min="8452" max="8453" width="9.36328125" style="150" customWidth="1"/>
    <col min="8454" max="8454" width="6.26953125" style="150" customWidth="1"/>
    <col min="8455" max="8455" width="9.36328125" style="150" customWidth="1"/>
    <col min="8456" max="8456" width="6.36328125" style="150" customWidth="1"/>
    <col min="8457" max="8457" width="9.36328125" style="150" customWidth="1"/>
    <col min="8458" max="8458" width="6.26953125" style="150" customWidth="1"/>
    <col min="8459" max="8459" width="9.36328125" style="150" customWidth="1"/>
    <col min="8460" max="8460" width="6.26953125" style="150" customWidth="1"/>
    <col min="8461" max="8704" width="8.7265625" style="150"/>
    <col min="8705" max="8705" width="5.6328125" style="150" customWidth="1"/>
    <col min="8706" max="8706" width="3" style="150" customWidth="1"/>
    <col min="8707" max="8707" width="15.36328125" style="150" customWidth="1"/>
    <col min="8708" max="8709" width="9.36328125" style="150" customWidth="1"/>
    <col min="8710" max="8710" width="6.26953125" style="150" customWidth="1"/>
    <col min="8711" max="8711" width="9.36328125" style="150" customWidth="1"/>
    <col min="8712" max="8712" width="6.36328125" style="150" customWidth="1"/>
    <col min="8713" max="8713" width="9.36328125" style="150" customWidth="1"/>
    <col min="8714" max="8714" width="6.26953125" style="150" customWidth="1"/>
    <col min="8715" max="8715" width="9.36328125" style="150" customWidth="1"/>
    <col min="8716" max="8716" width="6.26953125" style="150" customWidth="1"/>
    <col min="8717" max="8960" width="8.7265625" style="150"/>
    <col min="8961" max="8961" width="5.6328125" style="150" customWidth="1"/>
    <col min="8962" max="8962" width="3" style="150" customWidth="1"/>
    <col min="8963" max="8963" width="15.36328125" style="150" customWidth="1"/>
    <col min="8964" max="8965" width="9.36328125" style="150" customWidth="1"/>
    <col min="8966" max="8966" width="6.26953125" style="150" customWidth="1"/>
    <col min="8967" max="8967" width="9.36328125" style="150" customWidth="1"/>
    <col min="8968" max="8968" width="6.36328125" style="150" customWidth="1"/>
    <col min="8969" max="8969" width="9.36328125" style="150" customWidth="1"/>
    <col min="8970" max="8970" width="6.26953125" style="150" customWidth="1"/>
    <col min="8971" max="8971" width="9.36328125" style="150" customWidth="1"/>
    <col min="8972" max="8972" width="6.26953125" style="150" customWidth="1"/>
    <col min="8973" max="9216" width="8.7265625" style="150"/>
    <col min="9217" max="9217" width="5.6328125" style="150" customWidth="1"/>
    <col min="9218" max="9218" width="3" style="150" customWidth="1"/>
    <col min="9219" max="9219" width="15.36328125" style="150" customWidth="1"/>
    <col min="9220" max="9221" width="9.36328125" style="150" customWidth="1"/>
    <col min="9222" max="9222" width="6.26953125" style="150" customWidth="1"/>
    <col min="9223" max="9223" width="9.36328125" style="150" customWidth="1"/>
    <col min="9224" max="9224" width="6.36328125" style="150" customWidth="1"/>
    <col min="9225" max="9225" width="9.36328125" style="150" customWidth="1"/>
    <col min="9226" max="9226" width="6.26953125" style="150" customWidth="1"/>
    <col min="9227" max="9227" width="9.36328125" style="150" customWidth="1"/>
    <col min="9228" max="9228" width="6.26953125" style="150" customWidth="1"/>
    <col min="9229" max="9472" width="8.7265625" style="150"/>
    <col min="9473" max="9473" width="5.6328125" style="150" customWidth="1"/>
    <col min="9474" max="9474" width="3" style="150" customWidth="1"/>
    <col min="9475" max="9475" width="15.36328125" style="150" customWidth="1"/>
    <col min="9476" max="9477" width="9.36328125" style="150" customWidth="1"/>
    <col min="9478" max="9478" width="6.26953125" style="150" customWidth="1"/>
    <col min="9479" max="9479" width="9.36328125" style="150" customWidth="1"/>
    <col min="9480" max="9480" width="6.36328125" style="150" customWidth="1"/>
    <col min="9481" max="9481" width="9.36328125" style="150" customWidth="1"/>
    <col min="9482" max="9482" width="6.26953125" style="150" customWidth="1"/>
    <col min="9483" max="9483" width="9.36328125" style="150" customWidth="1"/>
    <col min="9484" max="9484" width="6.26953125" style="150" customWidth="1"/>
    <col min="9485" max="9728" width="8.7265625" style="150"/>
    <col min="9729" max="9729" width="5.6328125" style="150" customWidth="1"/>
    <col min="9730" max="9730" width="3" style="150" customWidth="1"/>
    <col min="9731" max="9731" width="15.36328125" style="150" customWidth="1"/>
    <col min="9732" max="9733" width="9.36328125" style="150" customWidth="1"/>
    <col min="9734" max="9734" width="6.26953125" style="150" customWidth="1"/>
    <col min="9735" max="9735" width="9.36328125" style="150" customWidth="1"/>
    <col min="9736" max="9736" width="6.36328125" style="150" customWidth="1"/>
    <col min="9737" max="9737" width="9.36328125" style="150" customWidth="1"/>
    <col min="9738" max="9738" width="6.26953125" style="150" customWidth="1"/>
    <col min="9739" max="9739" width="9.36328125" style="150" customWidth="1"/>
    <col min="9740" max="9740" width="6.26953125" style="150" customWidth="1"/>
    <col min="9741" max="9984" width="8.7265625" style="150"/>
    <col min="9985" max="9985" width="5.6328125" style="150" customWidth="1"/>
    <col min="9986" max="9986" width="3" style="150" customWidth="1"/>
    <col min="9987" max="9987" width="15.36328125" style="150" customWidth="1"/>
    <col min="9988" max="9989" width="9.36328125" style="150" customWidth="1"/>
    <col min="9990" max="9990" width="6.26953125" style="150" customWidth="1"/>
    <col min="9991" max="9991" width="9.36328125" style="150" customWidth="1"/>
    <col min="9992" max="9992" width="6.36328125" style="150" customWidth="1"/>
    <col min="9993" max="9993" width="9.36328125" style="150" customWidth="1"/>
    <col min="9994" max="9994" width="6.26953125" style="150" customWidth="1"/>
    <col min="9995" max="9995" width="9.36328125" style="150" customWidth="1"/>
    <col min="9996" max="9996" width="6.26953125" style="150" customWidth="1"/>
    <col min="9997" max="10240" width="8.7265625" style="150"/>
    <col min="10241" max="10241" width="5.6328125" style="150" customWidth="1"/>
    <col min="10242" max="10242" width="3" style="150" customWidth="1"/>
    <col min="10243" max="10243" width="15.36328125" style="150" customWidth="1"/>
    <col min="10244" max="10245" width="9.36328125" style="150" customWidth="1"/>
    <col min="10246" max="10246" width="6.26953125" style="150" customWidth="1"/>
    <col min="10247" max="10247" width="9.36328125" style="150" customWidth="1"/>
    <col min="10248" max="10248" width="6.36328125" style="150" customWidth="1"/>
    <col min="10249" max="10249" width="9.36328125" style="150" customWidth="1"/>
    <col min="10250" max="10250" width="6.26953125" style="150" customWidth="1"/>
    <col min="10251" max="10251" width="9.36328125" style="150" customWidth="1"/>
    <col min="10252" max="10252" width="6.26953125" style="150" customWidth="1"/>
    <col min="10253" max="10496" width="8.7265625" style="150"/>
    <col min="10497" max="10497" width="5.6328125" style="150" customWidth="1"/>
    <col min="10498" max="10498" width="3" style="150" customWidth="1"/>
    <col min="10499" max="10499" width="15.36328125" style="150" customWidth="1"/>
    <col min="10500" max="10501" width="9.36328125" style="150" customWidth="1"/>
    <col min="10502" max="10502" width="6.26953125" style="150" customWidth="1"/>
    <col min="10503" max="10503" width="9.36328125" style="150" customWidth="1"/>
    <col min="10504" max="10504" width="6.36328125" style="150" customWidth="1"/>
    <col min="10505" max="10505" width="9.36328125" style="150" customWidth="1"/>
    <col min="10506" max="10506" width="6.26953125" style="150" customWidth="1"/>
    <col min="10507" max="10507" width="9.36328125" style="150" customWidth="1"/>
    <col min="10508" max="10508" width="6.26953125" style="150" customWidth="1"/>
    <col min="10509" max="10752" width="8.7265625" style="150"/>
    <col min="10753" max="10753" width="5.6328125" style="150" customWidth="1"/>
    <col min="10754" max="10754" width="3" style="150" customWidth="1"/>
    <col min="10755" max="10755" width="15.36328125" style="150" customWidth="1"/>
    <col min="10756" max="10757" width="9.36328125" style="150" customWidth="1"/>
    <col min="10758" max="10758" width="6.26953125" style="150" customWidth="1"/>
    <col min="10759" max="10759" width="9.36328125" style="150" customWidth="1"/>
    <col min="10760" max="10760" width="6.36328125" style="150" customWidth="1"/>
    <col min="10761" max="10761" width="9.36328125" style="150" customWidth="1"/>
    <col min="10762" max="10762" width="6.26953125" style="150" customWidth="1"/>
    <col min="10763" max="10763" width="9.36328125" style="150" customWidth="1"/>
    <col min="10764" max="10764" width="6.26953125" style="150" customWidth="1"/>
    <col min="10765" max="11008" width="8.7265625" style="150"/>
    <col min="11009" max="11009" width="5.6328125" style="150" customWidth="1"/>
    <col min="11010" max="11010" width="3" style="150" customWidth="1"/>
    <col min="11011" max="11011" width="15.36328125" style="150" customWidth="1"/>
    <col min="11012" max="11013" width="9.36328125" style="150" customWidth="1"/>
    <col min="11014" max="11014" width="6.26953125" style="150" customWidth="1"/>
    <col min="11015" max="11015" width="9.36328125" style="150" customWidth="1"/>
    <col min="11016" max="11016" width="6.36328125" style="150" customWidth="1"/>
    <col min="11017" max="11017" width="9.36328125" style="150" customWidth="1"/>
    <col min="11018" max="11018" width="6.26953125" style="150" customWidth="1"/>
    <col min="11019" max="11019" width="9.36328125" style="150" customWidth="1"/>
    <col min="11020" max="11020" width="6.26953125" style="150" customWidth="1"/>
    <col min="11021" max="11264" width="8.7265625" style="150"/>
    <col min="11265" max="11265" width="5.6328125" style="150" customWidth="1"/>
    <col min="11266" max="11266" width="3" style="150" customWidth="1"/>
    <col min="11267" max="11267" width="15.36328125" style="150" customWidth="1"/>
    <col min="11268" max="11269" width="9.36328125" style="150" customWidth="1"/>
    <col min="11270" max="11270" width="6.26953125" style="150" customWidth="1"/>
    <col min="11271" max="11271" width="9.36328125" style="150" customWidth="1"/>
    <col min="11272" max="11272" width="6.36328125" style="150" customWidth="1"/>
    <col min="11273" max="11273" width="9.36328125" style="150" customWidth="1"/>
    <col min="11274" max="11274" width="6.26953125" style="150" customWidth="1"/>
    <col min="11275" max="11275" width="9.36328125" style="150" customWidth="1"/>
    <col min="11276" max="11276" width="6.26953125" style="150" customWidth="1"/>
    <col min="11277" max="11520" width="8.7265625" style="150"/>
    <col min="11521" max="11521" width="5.6328125" style="150" customWidth="1"/>
    <col min="11522" max="11522" width="3" style="150" customWidth="1"/>
    <col min="11523" max="11523" width="15.36328125" style="150" customWidth="1"/>
    <col min="11524" max="11525" width="9.36328125" style="150" customWidth="1"/>
    <col min="11526" max="11526" width="6.26953125" style="150" customWidth="1"/>
    <col min="11527" max="11527" width="9.36328125" style="150" customWidth="1"/>
    <col min="11528" max="11528" width="6.36328125" style="150" customWidth="1"/>
    <col min="11529" max="11529" width="9.36328125" style="150" customWidth="1"/>
    <col min="11530" max="11530" width="6.26953125" style="150" customWidth="1"/>
    <col min="11531" max="11531" width="9.36328125" style="150" customWidth="1"/>
    <col min="11532" max="11532" width="6.26953125" style="150" customWidth="1"/>
    <col min="11533" max="11776" width="8.7265625" style="150"/>
    <col min="11777" max="11777" width="5.6328125" style="150" customWidth="1"/>
    <col min="11778" max="11778" width="3" style="150" customWidth="1"/>
    <col min="11779" max="11779" width="15.36328125" style="150" customWidth="1"/>
    <col min="11780" max="11781" width="9.36328125" style="150" customWidth="1"/>
    <col min="11782" max="11782" width="6.26953125" style="150" customWidth="1"/>
    <col min="11783" max="11783" width="9.36328125" style="150" customWidth="1"/>
    <col min="11784" max="11784" width="6.36328125" style="150" customWidth="1"/>
    <col min="11785" max="11785" width="9.36328125" style="150" customWidth="1"/>
    <col min="11786" max="11786" width="6.26953125" style="150" customWidth="1"/>
    <col min="11787" max="11787" width="9.36328125" style="150" customWidth="1"/>
    <col min="11788" max="11788" width="6.26953125" style="150" customWidth="1"/>
    <col min="11789" max="12032" width="8.7265625" style="150"/>
    <col min="12033" max="12033" width="5.6328125" style="150" customWidth="1"/>
    <col min="12034" max="12034" width="3" style="150" customWidth="1"/>
    <col min="12035" max="12035" width="15.36328125" style="150" customWidth="1"/>
    <col min="12036" max="12037" width="9.36328125" style="150" customWidth="1"/>
    <col min="12038" max="12038" width="6.26953125" style="150" customWidth="1"/>
    <col min="12039" max="12039" width="9.36328125" style="150" customWidth="1"/>
    <col min="12040" max="12040" width="6.36328125" style="150" customWidth="1"/>
    <col min="12041" max="12041" width="9.36328125" style="150" customWidth="1"/>
    <col min="12042" max="12042" width="6.26953125" style="150" customWidth="1"/>
    <col min="12043" max="12043" width="9.36328125" style="150" customWidth="1"/>
    <col min="12044" max="12044" width="6.26953125" style="150" customWidth="1"/>
    <col min="12045" max="12288" width="8.7265625" style="150"/>
    <col min="12289" max="12289" width="5.6328125" style="150" customWidth="1"/>
    <col min="12290" max="12290" width="3" style="150" customWidth="1"/>
    <col min="12291" max="12291" width="15.36328125" style="150" customWidth="1"/>
    <col min="12292" max="12293" width="9.36328125" style="150" customWidth="1"/>
    <col min="12294" max="12294" width="6.26953125" style="150" customWidth="1"/>
    <col min="12295" max="12295" width="9.36328125" style="150" customWidth="1"/>
    <col min="12296" max="12296" width="6.36328125" style="150" customWidth="1"/>
    <col min="12297" max="12297" width="9.36328125" style="150" customWidth="1"/>
    <col min="12298" max="12298" width="6.26953125" style="150" customWidth="1"/>
    <col min="12299" max="12299" width="9.36328125" style="150" customWidth="1"/>
    <col min="12300" max="12300" width="6.26953125" style="150" customWidth="1"/>
    <col min="12301" max="12544" width="8.7265625" style="150"/>
    <col min="12545" max="12545" width="5.6328125" style="150" customWidth="1"/>
    <col min="12546" max="12546" width="3" style="150" customWidth="1"/>
    <col min="12547" max="12547" width="15.36328125" style="150" customWidth="1"/>
    <col min="12548" max="12549" width="9.36328125" style="150" customWidth="1"/>
    <col min="12550" max="12550" width="6.26953125" style="150" customWidth="1"/>
    <col min="12551" max="12551" width="9.36328125" style="150" customWidth="1"/>
    <col min="12552" max="12552" width="6.36328125" style="150" customWidth="1"/>
    <col min="12553" max="12553" width="9.36328125" style="150" customWidth="1"/>
    <col min="12554" max="12554" width="6.26953125" style="150" customWidth="1"/>
    <col min="12555" max="12555" width="9.36328125" style="150" customWidth="1"/>
    <col min="12556" max="12556" width="6.26953125" style="150" customWidth="1"/>
    <col min="12557" max="12800" width="8.7265625" style="150"/>
    <col min="12801" max="12801" width="5.6328125" style="150" customWidth="1"/>
    <col min="12802" max="12802" width="3" style="150" customWidth="1"/>
    <col min="12803" max="12803" width="15.36328125" style="150" customWidth="1"/>
    <col min="12804" max="12805" width="9.36328125" style="150" customWidth="1"/>
    <col min="12806" max="12806" width="6.26953125" style="150" customWidth="1"/>
    <col min="12807" max="12807" width="9.36328125" style="150" customWidth="1"/>
    <col min="12808" max="12808" width="6.36328125" style="150" customWidth="1"/>
    <col min="12809" max="12809" width="9.36328125" style="150" customWidth="1"/>
    <col min="12810" max="12810" width="6.26953125" style="150" customWidth="1"/>
    <col min="12811" max="12811" width="9.36328125" style="150" customWidth="1"/>
    <col min="12812" max="12812" width="6.26953125" style="150" customWidth="1"/>
    <col min="12813" max="13056" width="8.7265625" style="150"/>
    <col min="13057" max="13057" width="5.6328125" style="150" customWidth="1"/>
    <col min="13058" max="13058" width="3" style="150" customWidth="1"/>
    <col min="13059" max="13059" width="15.36328125" style="150" customWidth="1"/>
    <col min="13060" max="13061" width="9.36328125" style="150" customWidth="1"/>
    <col min="13062" max="13062" width="6.26953125" style="150" customWidth="1"/>
    <col min="13063" max="13063" width="9.36328125" style="150" customWidth="1"/>
    <col min="13064" max="13064" width="6.36328125" style="150" customWidth="1"/>
    <col min="13065" max="13065" width="9.36328125" style="150" customWidth="1"/>
    <col min="13066" max="13066" width="6.26953125" style="150" customWidth="1"/>
    <col min="13067" max="13067" width="9.36328125" style="150" customWidth="1"/>
    <col min="13068" max="13068" width="6.26953125" style="150" customWidth="1"/>
    <col min="13069" max="13312" width="8.7265625" style="150"/>
    <col min="13313" max="13313" width="5.6328125" style="150" customWidth="1"/>
    <col min="13314" max="13314" width="3" style="150" customWidth="1"/>
    <col min="13315" max="13315" width="15.36328125" style="150" customWidth="1"/>
    <col min="13316" max="13317" width="9.36328125" style="150" customWidth="1"/>
    <col min="13318" max="13318" width="6.26953125" style="150" customWidth="1"/>
    <col min="13319" max="13319" width="9.36328125" style="150" customWidth="1"/>
    <col min="13320" max="13320" width="6.36328125" style="150" customWidth="1"/>
    <col min="13321" max="13321" width="9.36328125" style="150" customWidth="1"/>
    <col min="13322" max="13322" width="6.26953125" style="150" customWidth="1"/>
    <col min="13323" max="13323" width="9.36328125" style="150" customWidth="1"/>
    <col min="13324" max="13324" width="6.26953125" style="150" customWidth="1"/>
    <col min="13325" max="13568" width="8.7265625" style="150"/>
    <col min="13569" max="13569" width="5.6328125" style="150" customWidth="1"/>
    <col min="13570" max="13570" width="3" style="150" customWidth="1"/>
    <col min="13571" max="13571" width="15.36328125" style="150" customWidth="1"/>
    <col min="13572" max="13573" width="9.36328125" style="150" customWidth="1"/>
    <col min="13574" max="13574" width="6.26953125" style="150" customWidth="1"/>
    <col min="13575" max="13575" width="9.36328125" style="150" customWidth="1"/>
    <col min="13576" max="13576" width="6.36328125" style="150" customWidth="1"/>
    <col min="13577" max="13577" width="9.36328125" style="150" customWidth="1"/>
    <col min="13578" max="13578" width="6.26953125" style="150" customWidth="1"/>
    <col min="13579" max="13579" width="9.36328125" style="150" customWidth="1"/>
    <col min="13580" max="13580" width="6.26953125" style="150" customWidth="1"/>
    <col min="13581" max="13824" width="8.7265625" style="150"/>
    <col min="13825" max="13825" width="5.6328125" style="150" customWidth="1"/>
    <col min="13826" max="13826" width="3" style="150" customWidth="1"/>
    <col min="13827" max="13827" width="15.36328125" style="150" customWidth="1"/>
    <col min="13828" max="13829" width="9.36328125" style="150" customWidth="1"/>
    <col min="13830" max="13830" width="6.26953125" style="150" customWidth="1"/>
    <col min="13831" max="13831" width="9.36328125" style="150" customWidth="1"/>
    <col min="13832" max="13832" width="6.36328125" style="150" customWidth="1"/>
    <col min="13833" max="13833" width="9.36328125" style="150" customWidth="1"/>
    <col min="13834" max="13834" width="6.26953125" style="150" customWidth="1"/>
    <col min="13835" max="13835" width="9.36328125" style="150" customWidth="1"/>
    <col min="13836" max="13836" width="6.26953125" style="150" customWidth="1"/>
    <col min="13837" max="14080" width="8.7265625" style="150"/>
    <col min="14081" max="14081" width="5.6328125" style="150" customWidth="1"/>
    <col min="14082" max="14082" width="3" style="150" customWidth="1"/>
    <col min="14083" max="14083" width="15.36328125" style="150" customWidth="1"/>
    <col min="14084" max="14085" width="9.36328125" style="150" customWidth="1"/>
    <col min="14086" max="14086" width="6.26953125" style="150" customWidth="1"/>
    <col min="14087" max="14087" width="9.36328125" style="150" customWidth="1"/>
    <col min="14088" max="14088" width="6.36328125" style="150" customWidth="1"/>
    <col min="14089" max="14089" width="9.36328125" style="150" customWidth="1"/>
    <col min="14090" max="14090" width="6.26953125" style="150" customWidth="1"/>
    <col min="14091" max="14091" width="9.36328125" style="150" customWidth="1"/>
    <col min="14092" max="14092" width="6.26953125" style="150" customWidth="1"/>
    <col min="14093" max="14336" width="8.7265625" style="150"/>
    <col min="14337" max="14337" width="5.6328125" style="150" customWidth="1"/>
    <col min="14338" max="14338" width="3" style="150" customWidth="1"/>
    <col min="14339" max="14339" width="15.36328125" style="150" customWidth="1"/>
    <col min="14340" max="14341" width="9.36328125" style="150" customWidth="1"/>
    <col min="14342" max="14342" width="6.26953125" style="150" customWidth="1"/>
    <col min="14343" max="14343" width="9.36328125" style="150" customWidth="1"/>
    <col min="14344" max="14344" width="6.36328125" style="150" customWidth="1"/>
    <col min="14345" max="14345" width="9.36328125" style="150" customWidth="1"/>
    <col min="14346" max="14346" width="6.26953125" style="150" customWidth="1"/>
    <col min="14347" max="14347" width="9.36328125" style="150" customWidth="1"/>
    <col min="14348" max="14348" width="6.26953125" style="150" customWidth="1"/>
    <col min="14349" max="14592" width="8.7265625" style="150"/>
    <col min="14593" max="14593" width="5.6328125" style="150" customWidth="1"/>
    <col min="14594" max="14594" width="3" style="150" customWidth="1"/>
    <col min="14595" max="14595" width="15.36328125" style="150" customWidth="1"/>
    <col min="14596" max="14597" width="9.36328125" style="150" customWidth="1"/>
    <col min="14598" max="14598" width="6.26953125" style="150" customWidth="1"/>
    <col min="14599" max="14599" width="9.36328125" style="150" customWidth="1"/>
    <col min="14600" max="14600" width="6.36328125" style="150" customWidth="1"/>
    <col min="14601" max="14601" width="9.36328125" style="150" customWidth="1"/>
    <col min="14602" max="14602" width="6.26953125" style="150" customWidth="1"/>
    <col min="14603" max="14603" width="9.36328125" style="150" customWidth="1"/>
    <col min="14604" max="14604" width="6.26953125" style="150" customWidth="1"/>
    <col min="14605" max="14848" width="8.7265625" style="150"/>
    <col min="14849" max="14849" width="5.6328125" style="150" customWidth="1"/>
    <col min="14850" max="14850" width="3" style="150" customWidth="1"/>
    <col min="14851" max="14851" width="15.36328125" style="150" customWidth="1"/>
    <col min="14852" max="14853" width="9.36328125" style="150" customWidth="1"/>
    <col min="14854" max="14854" width="6.26953125" style="150" customWidth="1"/>
    <col min="14855" max="14855" width="9.36328125" style="150" customWidth="1"/>
    <col min="14856" max="14856" width="6.36328125" style="150" customWidth="1"/>
    <col min="14857" max="14857" width="9.36328125" style="150" customWidth="1"/>
    <col min="14858" max="14858" width="6.26953125" style="150" customWidth="1"/>
    <col min="14859" max="14859" width="9.36328125" style="150" customWidth="1"/>
    <col min="14860" max="14860" width="6.26953125" style="150" customWidth="1"/>
    <col min="14861" max="15104" width="8.7265625" style="150"/>
    <col min="15105" max="15105" width="5.6328125" style="150" customWidth="1"/>
    <col min="15106" max="15106" width="3" style="150" customWidth="1"/>
    <col min="15107" max="15107" width="15.36328125" style="150" customWidth="1"/>
    <col min="15108" max="15109" width="9.36328125" style="150" customWidth="1"/>
    <col min="15110" max="15110" width="6.26953125" style="150" customWidth="1"/>
    <col min="15111" max="15111" width="9.36328125" style="150" customWidth="1"/>
    <col min="15112" max="15112" width="6.36328125" style="150" customWidth="1"/>
    <col min="15113" max="15113" width="9.36328125" style="150" customWidth="1"/>
    <col min="15114" max="15114" width="6.26953125" style="150" customWidth="1"/>
    <col min="15115" max="15115" width="9.36328125" style="150" customWidth="1"/>
    <col min="15116" max="15116" width="6.26953125" style="150" customWidth="1"/>
    <col min="15117" max="15360" width="8.7265625" style="150"/>
    <col min="15361" max="15361" width="5.6328125" style="150" customWidth="1"/>
    <col min="15362" max="15362" width="3" style="150" customWidth="1"/>
    <col min="15363" max="15363" width="15.36328125" style="150" customWidth="1"/>
    <col min="15364" max="15365" width="9.36328125" style="150" customWidth="1"/>
    <col min="15366" max="15366" width="6.26953125" style="150" customWidth="1"/>
    <col min="15367" max="15367" width="9.36328125" style="150" customWidth="1"/>
    <col min="15368" max="15368" width="6.36328125" style="150" customWidth="1"/>
    <col min="15369" max="15369" width="9.36328125" style="150" customWidth="1"/>
    <col min="15370" max="15370" width="6.26953125" style="150" customWidth="1"/>
    <col min="15371" max="15371" width="9.36328125" style="150" customWidth="1"/>
    <col min="15372" max="15372" width="6.26953125" style="150" customWidth="1"/>
    <col min="15373" max="15616" width="8.7265625" style="150"/>
    <col min="15617" max="15617" width="5.6328125" style="150" customWidth="1"/>
    <col min="15618" max="15618" width="3" style="150" customWidth="1"/>
    <col min="15619" max="15619" width="15.36328125" style="150" customWidth="1"/>
    <col min="15620" max="15621" width="9.36328125" style="150" customWidth="1"/>
    <col min="15622" max="15622" width="6.26953125" style="150" customWidth="1"/>
    <col min="15623" max="15623" width="9.36328125" style="150" customWidth="1"/>
    <col min="15624" max="15624" width="6.36328125" style="150" customWidth="1"/>
    <col min="15625" max="15625" width="9.36328125" style="150" customWidth="1"/>
    <col min="15626" max="15626" width="6.26953125" style="150" customWidth="1"/>
    <col min="15627" max="15627" width="9.36328125" style="150" customWidth="1"/>
    <col min="15628" max="15628" width="6.26953125" style="150" customWidth="1"/>
    <col min="15629" max="15872" width="8.7265625" style="150"/>
    <col min="15873" max="15873" width="5.6328125" style="150" customWidth="1"/>
    <col min="15874" max="15874" width="3" style="150" customWidth="1"/>
    <col min="15875" max="15875" width="15.36328125" style="150" customWidth="1"/>
    <col min="15876" max="15877" width="9.36328125" style="150" customWidth="1"/>
    <col min="15878" max="15878" width="6.26953125" style="150" customWidth="1"/>
    <col min="15879" max="15879" width="9.36328125" style="150" customWidth="1"/>
    <col min="15880" max="15880" width="6.36328125" style="150" customWidth="1"/>
    <col min="15881" max="15881" width="9.36328125" style="150" customWidth="1"/>
    <col min="15882" max="15882" width="6.26953125" style="150" customWidth="1"/>
    <col min="15883" max="15883" width="9.36328125" style="150" customWidth="1"/>
    <col min="15884" max="15884" width="6.26953125" style="150" customWidth="1"/>
    <col min="15885" max="16128" width="8.7265625" style="150"/>
    <col min="16129" max="16129" width="5.6328125" style="150" customWidth="1"/>
    <col min="16130" max="16130" width="3" style="150" customWidth="1"/>
    <col min="16131" max="16131" width="15.36328125" style="150" customWidth="1"/>
    <col min="16132" max="16133" width="9.36328125" style="150" customWidth="1"/>
    <col min="16134" max="16134" width="6.26953125" style="150" customWidth="1"/>
    <col min="16135" max="16135" width="9.36328125" style="150" customWidth="1"/>
    <col min="16136" max="16136" width="6.36328125" style="150" customWidth="1"/>
    <col min="16137" max="16137" width="9.36328125" style="150" customWidth="1"/>
    <col min="16138" max="16138" width="6.26953125" style="150" customWidth="1"/>
    <col min="16139" max="16139" width="9.36328125" style="150" customWidth="1"/>
    <col min="16140" max="16140" width="6.26953125" style="150" customWidth="1"/>
    <col min="16141" max="16384" width="8.7265625" style="150"/>
  </cols>
  <sheetData>
    <row r="1" spans="1:13" ht="17.149999999999999" customHeight="1">
      <c r="A1" s="377" t="s">
        <v>910</v>
      </c>
      <c r="D1" s="238"/>
      <c r="E1" s="238"/>
      <c r="F1" s="331"/>
      <c r="G1" s="238"/>
      <c r="H1" s="331"/>
      <c r="I1" s="331"/>
      <c r="J1" s="331"/>
      <c r="K1" s="331"/>
      <c r="L1" s="395"/>
    </row>
    <row r="2" spans="1:13" ht="14.15" customHeight="1">
      <c r="D2" s="238"/>
      <c r="E2" s="238"/>
      <c r="F2" s="331"/>
      <c r="G2" s="238"/>
      <c r="H2" s="331"/>
      <c r="I2" s="331"/>
      <c r="J2" s="331"/>
      <c r="K2" s="331"/>
      <c r="L2" s="395"/>
    </row>
    <row r="3" spans="1:13" s="178" customFormat="1" ht="17.149999999999999" customHeight="1">
      <c r="A3" s="849" t="s">
        <v>911</v>
      </c>
      <c r="B3" s="849" t="s">
        <v>558</v>
      </c>
      <c r="C3" s="849" t="s">
        <v>912</v>
      </c>
      <c r="D3" s="2008" t="s">
        <v>573</v>
      </c>
      <c r="E3" s="2000" t="s">
        <v>574</v>
      </c>
      <c r="F3" s="2000"/>
      <c r="G3" s="2000" t="s">
        <v>575</v>
      </c>
      <c r="H3" s="2000"/>
      <c r="I3" s="2000" t="s">
        <v>576</v>
      </c>
      <c r="J3" s="2000"/>
      <c r="K3" s="2000" t="s">
        <v>577</v>
      </c>
      <c r="L3" s="2000"/>
    </row>
    <row r="4" spans="1:13" s="178" customFormat="1" ht="26.25" customHeight="1">
      <c r="A4" s="849"/>
      <c r="B4" s="849"/>
      <c r="C4" s="849"/>
      <c r="D4" s="2010"/>
      <c r="E4" s="2020" t="s">
        <v>578</v>
      </c>
      <c r="F4" s="2020" t="s">
        <v>579</v>
      </c>
      <c r="G4" s="2020" t="s">
        <v>578</v>
      </c>
      <c r="H4" s="2020" t="s">
        <v>579</v>
      </c>
      <c r="I4" s="2020" t="s">
        <v>578</v>
      </c>
      <c r="J4" s="2020" t="s">
        <v>579</v>
      </c>
      <c r="K4" s="2020" t="s">
        <v>578</v>
      </c>
      <c r="L4" s="2021" t="s">
        <v>579</v>
      </c>
    </row>
    <row r="5" spans="1:13" s="10" customFormat="1" ht="14.15" customHeight="1">
      <c r="A5" s="912" t="s">
        <v>507</v>
      </c>
      <c r="B5" s="339">
        <v>6</v>
      </c>
      <c r="C5" s="339" t="s">
        <v>687</v>
      </c>
      <c r="D5" s="339">
        <f>E5+G5+I5</f>
        <v>547531</v>
      </c>
      <c r="E5" s="344">
        <v>199426</v>
      </c>
      <c r="F5" s="396">
        <f t="shared" ref="F5:F12" si="0">E5/$D5*100</f>
        <v>36.422777888375265</v>
      </c>
      <c r="G5" s="339">
        <v>166551</v>
      </c>
      <c r="H5" s="396">
        <f t="shared" ref="H5:H12" si="1">G5/$D5*100</f>
        <v>30.418551643651227</v>
      </c>
      <c r="I5" s="339">
        <v>181554</v>
      </c>
      <c r="J5" s="396">
        <f t="shared" ref="J5:J12" si="2">I5/$D5*100</f>
        <v>33.158670467973508</v>
      </c>
      <c r="K5" s="339">
        <v>617</v>
      </c>
      <c r="L5" s="397">
        <f t="shared" ref="L5:L12" si="3">K5/$D5*100</f>
        <v>0.11268768343710218</v>
      </c>
    </row>
    <row r="6" spans="1:13" s="10" customFormat="1" ht="14.15" customHeight="1">
      <c r="A6" s="912"/>
      <c r="B6" s="340">
        <v>42</v>
      </c>
      <c r="C6" s="340" t="s">
        <v>690</v>
      </c>
      <c r="D6" s="340">
        <f t="shared" ref="D6:D11" si="4">E6+G6+I6</f>
        <v>81139</v>
      </c>
      <c r="E6" s="340">
        <v>0</v>
      </c>
      <c r="F6" s="398">
        <f t="shared" si="0"/>
        <v>0</v>
      </c>
      <c r="G6" s="340">
        <v>0</v>
      </c>
      <c r="H6" s="398">
        <f t="shared" si="1"/>
        <v>0</v>
      </c>
      <c r="I6" s="340">
        <v>81139</v>
      </c>
      <c r="J6" s="398">
        <f t="shared" si="2"/>
        <v>100</v>
      </c>
      <c r="K6" s="340">
        <v>220</v>
      </c>
      <c r="L6" s="399">
        <f t="shared" si="3"/>
        <v>0.27113964924389011</v>
      </c>
    </row>
    <row r="7" spans="1:13" s="10" customFormat="1" ht="14.15" customHeight="1">
      <c r="A7" s="912"/>
      <c r="B7" s="340">
        <v>13</v>
      </c>
      <c r="C7" s="340" t="s">
        <v>691</v>
      </c>
      <c r="D7" s="340">
        <f t="shared" si="4"/>
        <v>298896</v>
      </c>
      <c r="E7" s="340">
        <v>0</v>
      </c>
      <c r="F7" s="398">
        <f t="shared" si="0"/>
        <v>0</v>
      </c>
      <c r="G7" s="340">
        <v>2311</v>
      </c>
      <c r="H7" s="398">
        <f t="shared" si="1"/>
        <v>0.77317863069428838</v>
      </c>
      <c r="I7" s="340">
        <v>296585</v>
      </c>
      <c r="J7" s="398">
        <f t="shared" si="2"/>
        <v>99.226821369305711</v>
      </c>
      <c r="K7" s="340">
        <v>2361</v>
      </c>
      <c r="L7" s="399">
        <f t="shared" si="3"/>
        <v>0.78990685723462328</v>
      </c>
    </row>
    <row r="8" spans="1:13" s="10" customFormat="1" ht="14.15" customHeight="1">
      <c r="A8" s="912"/>
      <c r="B8" s="340">
        <v>90</v>
      </c>
      <c r="C8" s="340" t="s">
        <v>913</v>
      </c>
      <c r="D8" s="340">
        <f t="shared" si="4"/>
        <v>85206</v>
      </c>
      <c r="E8" s="340">
        <v>6298</v>
      </c>
      <c r="F8" s="398">
        <f t="shared" si="0"/>
        <v>7.3914982512968574</v>
      </c>
      <c r="G8" s="340">
        <v>47741</v>
      </c>
      <c r="H8" s="398">
        <f t="shared" si="1"/>
        <v>56.030091777574356</v>
      </c>
      <c r="I8" s="340">
        <v>31167</v>
      </c>
      <c r="J8" s="398">
        <f t="shared" si="2"/>
        <v>36.578409971128792</v>
      </c>
      <c r="K8" s="340">
        <v>2003</v>
      </c>
      <c r="L8" s="399">
        <f t="shared" si="3"/>
        <v>2.350773419712227</v>
      </c>
    </row>
    <row r="9" spans="1:13" s="10" customFormat="1" ht="14.15" customHeight="1">
      <c r="A9" s="912"/>
      <c r="B9" s="340">
        <v>50</v>
      </c>
      <c r="C9" s="340" t="s">
        <v>914</v>
      </c>
      <c r="D9" s="340">
        <f t="shared" si="4"/>
        <v>93680</v>
      </c>
      <c r="E9" s="340">
        <v>0</v>
      </c>
      <c r="F9" s="398">
        <f t="shared" si="0"/>
        <v>0</v>
      </c>
      <c r="G9" s="340">
        <v>82024</v>
      </c>
      <c r="H9" s="398">
        <f t="shared" si="1"/>
        <v>87.557643040136639</v>
      </c>
      <c r="I9" s="340">
        <v>11656</v>
      </c>
      <c r="J9" s="398">
        <f t="shared" si="2"/>
        <v>12.442356959863364</v>
      </c>
      <c r="K9" s="340">
        <v>640</v>
      </c>
      <c r="L9" s="399">
        <f t="shared" si="3"/>
        <v>0.68317677198975235</v>
      </c>
    </row>
    <row r="10" spans="1:13" s="10" customFormat="1" ht="14.15" customHeight="1">
      <c r="A10" s="912"/>
      <c r="B10" s="340">
        <v>37</v>
      </c>
      <c r="C10" s="340" t="s">
        <v>699</v>
      </c>
      <c r="D10" s="340">
        <f t="shared" si="4"/>
        <v>1080849</v>
      </c>
      <c r="E10" s="340">
        <v>228117</v>
      </c>
      <c r="F10" s="398">
        <f t="shared" si="0"/>
        <v>21.105353291717897</v>
      </c>
      <c r="G10" s="340">
        <v>567087</v>
      </c>
      <c r="H10" s="398">
        <f t="shared" si="1"/>
        <v>52.4668108126112</v>
      </c>
      <c r="I10" s="340">
        <v>285645</v>
      </c>
      <c r="J10" s="398">
        <f t="shared" si="2"/>
        <v>26.427835895670903</v>
      </c>
      <c r="K10" s="340">
        <v>10871</v>
      </c>
      <c r="L10" s="399">
        <f t="shared" si="3"/>
        <v>1.0057834165549489</v>
      </c>
    </row>
    <row r="11" spans="1:13" s="10" customFormat="1" ht="14.15" customHeight="1" thickBot="1">
      <c r="A11" s="912"/>
      <c r="B11" s="342">
        <v>86</v>
      </c>
      <c r="C11" s="342" t="s">
        <v>701</v>
      </c>
      <c r="D11" s="342">
        <f t="shared" si="4"/>
        <v>41054</v>
      </c>
      <c r="E11" s="340">
        <v>0</v>
      </c>
      <c r="F11" s="400">
        <f t="shared" si="0"/>
        <v>0</v>
      </c>
      <c r="G11" s="342">
        <v>36547</v>
      </c>
      <c r="H11" s="400">
        <f t="shared" si="1"/>
        <v>89.021776197203678</v>
      </c>
      <c r="I11" s="342">
        <v>4507</v>
      </c>
      <c r="J11" s="400">
        <f t="shared" si="2"/>
        <v>10.978223802796316</v>
      </c>
      <c r="K11" s="342">
        <v>0</v>
      </c>
      <c r="L11" s="401">
        <f t="shared" si="3"/>
        <v>0</v>
      </c>
    </row>
    <row r="12" spans="1:13" s="343" customFormat="1" ht="14.15" customHeight="1" thickTop="1">
      <c r="A12" s="912"/>
      <c r="B12" s="252"/>
      <c r="C12" s="253" t="s">
        <v>34</v>
      </c>
      <c r="D12" s="402">
        <f>SUM(D5:D11)</f>
        <v>2228355</v>
      </c>
      <c r="E12" s="402">
        <f>SUM(E5:E11)</f>
        <v>433841</v>
      </c>
      <c r="F12" s="403">
        <f t="shared" si="0"/>
        <v>19.469115109576347</v>
      </c>
      <c r="G12" s="402">
        <f>SUM(G5:G11)</f>
        <v>902261</v>
      </c>
      <c r="H12" s="403">
        <f t="shared" si="1"/>
        <v>40.490002715007257</v>
      </c>
      <c r="I12" s="402">
        <f>SUM(I5:I11)</f>
        <v>892253</v>
      </c>
      <c r="J12" s="403">
        <f t="shared" si="2"/>
        <v>40.040882175416392</v>
      </c>
      <c r="K12" s="402">
        <f>SUM(K5:K11)</f>
        <v>16712</v>
      </c>
      <c r="L12" s="404">
        <f t="shared" si="3"/>
        <v>0.74997026954861323</v>
      </c>
      <c r="M12" s="10"/>
    </row>
    <row r="13" spans="1:13" s="343" customFormat="1" ht="14.15" customHeight="1">
      <c r="A13" s="912"/>
      <c r="B13" s="263"/>
      <c r="C13" s="264"/>
      <c r="D13" s="358"/>
      <c r="E13" s="358"/>
      <c r="F13" s="405"/>
      <c r="G13" s="358"/>
      <c r="H13" s="405"/>
      <c r="I13" s="358"/>
      <c r="J13" s="405"/>
      <c r="K13" s="358"/>
      <c r="L13" s="406"/>
      <c r="M13" s="10"/>
    </row>
    <row r="14" spans="1:13" s="10" customFormat="1" ht="14.15" customHeight="1">
      <c r="A14" s="912" t="s">
        <v>704</v>
      </c>
      <c r="B14" s="339">
        <v>3</v>
      </c>
      <c r="C14" s="339" t="s">
        <v>705</v>
      </c>
      <c r="D14" s="2109">
        <f t="shared" ref="D14:D16" si="5">E14+G14+I14</f>
        <v>1031153</v>
      </c>
      <c r="E14" s="339">
        <v>124600</v>
      </c>
      <c r="F14" s="396">
        <f>E14/$D14*100</f>
        <v>12.083560829479234</v>
      </c>
      <c r="G14" s="339">
        <v>686815</v>
      </c>
      <c r="H14" s="396">
        <f>G14/$D14*100</f>
        <v>66.606507472702887</v>
      </c>
      <c r="I14" s="339">
        <v>219738</v>
      </c>
      <c r="J14" s="396">
        <f>I14/$D14*100</f>
        <v>21.309931697817881</v>
      </c>
      <c r="K14" s="339">
        <v>2255</v>
      </c>
      <c r="L14" s="397">
        <f>K14/$D14*100</f>
        <v>0.21868723652067151</v>
      </c>
    </row>
    <row r="15" spans="1:13" s="10" customFormat="1" ht="14.15" customHeight="1">
      <c r="A15" s="912"/>
      <c r="B15" s="340">
        <v>53</v>
      </c>
      <c r="C15" s="340" t="s">
        <v>707</v>
      </c>
      <c r="D15" s="2110">
        <f t="shared" si="5"/>
        <v>354603</v>
      </c>
      <c r="E15" s="340">
        <v>6569</v>
      </c>
      <c r="F15" s="398">
        <f>E15/$D15*100</f>
        <v>1.8524941977366236</v>
      </c>
      <c r="G15" s="340">
        <v>266633</v>
      </c>
      <c r="H15" s="398">
        <f>G15/$D15*100</f>
        <v>75.191975251196411</v>
      </c>
      <c r="I15" s="340">
        <v>81401</v>
      </c>
      <c r="J15" s="398">
        <f>I15/$D15*100</f>
        <v>22.955530551066968</v>
      </c>
      <c r="K15" s="340">
        <v>591</v>
      </c>
      <c r="L15" s="399">
        <f>K15/$D15*100</f>
        <v>0.16666525663911474</v>
      </c>
    </row>
    <row r="16" spans="1:13" s="10" customFormat="1" ht="14.15" customHeight="1" thickBot="1">
      <c r="A16" s="912"/>
      <c r="B16" s="342">
        <v>92</v>
      </c>
      <c r="C16" s="342" t="s">
        <v>819</v>
      </c>
      <c r="D16" s="2111">
        <f t="shared" si="5"/>
        <v>203719</v>
      </c>
      <c r="E16" s="342">
        <v>0</v>
      </c>
      <c r="F16" s="400">
        <f>E16/$D16*100</f>
        <v>0</v>
      </c>
      <c r="G16" s="342">
        <v>41041</v>
      </c>
      <c r="H16" s="400">
        <f>G16/$D16*100</f>
        <v>20.145887227013681</v>
      </c>
      <c r="I16" s="342">
        <v>162678</v>
      </c>
      <c r="J16" s="400">
        <f>I16/$D16*100</f>
        <v>79.854112772986312</v>
      </c>
      <c r="K16" s="342">
        <v>0</v>
      </c>
      <c r="L16" s="401">
        <f>K16/$D16*100</f>
        <v>0</v>
      </c>
    </row>
    <row r="17" spans="1:13" s="343" customFormat="1" ht="14.15" customHeight="1" thickTop="1">
      <c r="A17" s="912"/>
      <c r="B17" s="252"/>
      <c r="C17" s="253" t="s">
        <v>34</v>
      </c>
      <c r="D17" s="402">
        <f>SUM(D14:D16)</f>
        <v>1589475</v>
      </c>
      <c r="E17" s="402">
        <f>SUM(E14:E16)</f>
        <v>131169</v>
      </c>
      <c r="F17" s="403">
        <f>E17/$D17*100</f>
        <v>8.2523474732222901</v>
      </c>
      <c r="G17" s="402">
        <f>SUM(G14:G16)</f>
        <v>994489</v>
      </c>
      <c r="H17" s="403">
        <f>G17/$D17*100</f>
        <v>62.567136947734312</v>
      </c>
      <c r="I17" s="402">
        <f>SUM(I14:I16)</f>
        <v>463817</v>
      </c>
      <c r="J17" s="403">
        <f>I17/$D17*100</f>
        <v>29.180515579043391</v>
      </c>
      <c r="K17" s="402">
        <f>SUM(K14:K16)</f>
        <v>2846</v>
      </c>
      <c r="L17" s="404">
        <f>K17/$D17*100</f>
        <v>0.17905283190990737</v>
      </c>
      <c r="M17" s="10"/>
    </row>
    <row r="18" spans="1:13" s="343" customFormat="1" ht="14.15" customHeight="1">
      <c r="A18" s="912"/>
      <c r="B18" s="263"/>
      <c r="C18" s="264"/>
      <c r="D18" s="358"/>
      <c r="E18" s="358"/>
      <c r="F18" s="405"/>
      <c r="G18" s="358"/>
      <c r="H18" s="405"/>
      <c r="I18" s="358"/>
      <c r="J18" s="405"/>
      <c r="K18" s="358"/>
      <c r="L18" s="406"/>
      <c r="M18" s="10"/>
    </row>
    <row r="19" spans="1:13" s="10" customFormat="1" ht="14.15" customHeight="1">
      <c r="A19" s="912" t="s">
        <v>711</v>
      </c>
      <c r="B19" s="339">
        <v>14</v>
      </c>
      <c r="C19" s="339" t="s">
        <v>712</v>
      </c>
      <c r="D19" s="339">
        <f t="shared" ref="D19:D29" si="6">E19+G19+I19</f>
        <v>352570</v>
      </c>
      <c r="E19" s="339">
        <v>8657</v>
      </c>
      <c r="F19" s="396">
        <f t="shared" ref="F19:F30" si="7">E19/$D19*100</f>
        <v>2.455398927872479</v>
      </c>
      <c r="G19" s="339">
        <v>252578</v>
      </c>
      <c r="H19" s="396">
        <f t="shared" ref="H19:H30" si="8">G19/$D19*100</f>
        <v>71.639107127662598</v>
      </c>
      <c r="I19" s="339">
        <v>91335</v>
      </c>
      <c r="J19" s="396">
        <f t="shared" ref="J19:J30" si="9">I19/$D19*100</f>
        <v>25.905493944464929</v>
      </c>
      <c r="K19" s="339">
        <v>2064</v>
      </c>
      <c r="L19" s="397">
        <f t="shared" ref="L19:L30" si="10">K19/$D19*100</f>
        <v>0.5854156621380151</v>
      </c>
    </row>
    <row r="20" spans="1:13" s="10" customFormat="1" ht="14.15" customHeight="1">
      <c r="A20" s="912"/>
      <c r="B20" s="340">
        <v>5</v>
      </c>
      <c r="C20" s="340" t="s">
        <v>714</v>
      </c>
      <c r="D20" s="340">
        <f t="shared" si="6"/>
        <v>376969</v>
      </c>
      <c r="E20" s="340">
        <v>132707</v>
      </c>
      <c r="F20" s="398">
        <f t="shared" si="7"/>
        <v>35.20369048913836</v>
      </c>
      <c r="G20" s="340">
        <v>163282</v>
      </c>
      <c r="H20" s="398">
        <f t="shared" si="8"/>
        <v>43.314436996145574</v>
      </c>
      <c r="I20" s="340">
        <v>80980</v>
      </c>
      <c r="J20" s="398">
        <f t="shared" si="9"/>
        <v>21.481872514716063</v>
      </c>
      <c r="K20" s="340">
        <v>3640</v>
      </c>
      <c r="L20" s="399">
        <f t="shared" si="10"/>
        <v>0.965596640572567</v>
      </c>
    </row>
    <row r="21" spans="1:13" s="10" customFormat="1" ht="14.15" customHeight="1">
      <c r="A21" s="912"/>
      <c r="B21" s="340">
        <v>45</v>
      </c>
      <c r="C21" s="340" t="s">
        <v>716</v>
      </c>
      <c r="D21" s="340">
        <f t="shared" si="6"/>
        <v>711981</v>
      </c>
      <c r="E21" s="340">
        <v>84265</v>
      </c>
      <c r="F21" s="398">
        <f t="shared" si="7"/>
        <v>11.835287739420012</v>
      </c>
      <c r="G21" s="340">
        <v>373679</v>
      </c>
      <c r="H21" s="398">
        <f t="shared" si="8"/>
        <v>52.484406184996516</v>
      </c>
      <c r="I21" s="340">
        <v>254037</v>
      </c>
      <c r="J21" s="398">
        <f t="shared" si="9"/>
        <v>35.680306075583481</v>
      </c>
      <c r="K21" s="340">
        <v>2571</v>
      </c>
      <c r="L21" s="399">
        <f t="shared" si="10"/>
        <v>0.36110514185069542</v>
      </c>
    </row>
    <row r="22" spans="1:13" s="10" customFormat="1" ht="14.15" customHeight="1">
      <c r="A22" s="912"/>
      <c r="B22" s="340">
        <v>17</v>
      </c>
      <c r="C22" s="340" t="s">
        <v>717</v>
      </c>
      <c r="D22" s="340">
        <f t="shared" si="6"/>
        <v>117199</v>
      </c>
      <c r="E22" s="340">
        <v>55931</v>
      </c>
      <c r="F22" s="398">
        <f t="shared" si="7"/>
        <v>47.723103439449147</v>
      </c>
      <c r="G22" s="340">
        <v>45816</v>
      </c>
      <c r="H22" s="398">
        <f t="shared" si="8"/>
        <v>39.092483724263857</v>
      </c>
      <c r="I22" s="340">
        <v>15452</v>
      </c>
      <c r="J22" s="398">
        <f t="shared" si="9"/>
        <v>13.184412836286999</v>
      </c>
      <c r="K22" s="340">
        <v>445</v>
      </c>
      <c r="L22" s="399">
        <f t="shared" si="10"/>
        <v>0.37969607249208609</v>
      </c>
    </row>
    <row r="23" spans="1:13" s="10" customFormat="1" ht="14.15" customHeight="1">
      <c r="A23" s="912"/>
      <c r="B23" s="340">
        <v>58</v>
      </c>
      <c r="C23" s="340" t="s">
        <v>719</v>
      </c>
      <c r="D23" s="340">
        <f t="shared" si="6"/>
        <v>321223</v>
      </c>
      <c r="E23" s="340">
        <v>84188</v>
      </c>
      <c r="F23" s="398">
        <f t="shared" si="7"/>
        <v>26.208584067766004</v>
      </c>
      <c r="G23" s="340">
        <v>161878</v>
      </c>
      <c r="H23" s="398">
        <f t="shared" si="8"/>
        <v>50.394274382594027</v>
      </c>
      <c r="I23" s="340">
        <v>75157</v>
      </c>
      <c r="J23" s="398">
        <f t="shared" si="9"/>
        <v>23.397141549639969</v>
      </c>
      <c r="K23" s="340">
        <v>1096</v>
      </c>
      <c r="L23" s="399">
        <f t="shared" si="10"/>
        <v>0.34119599156971947</v>
      </c>
    </row>
    <row r="24" spans="1:13" s="10" customFormat="1" ht="14.15" customHeight="1">
      <c r="A24" s="912"/>
      <c r="B24" s="340">
        <v>56</v>
      </c>
      <c r="C24" s="340" t="s">
        <v>720</v>
      </c>
      <c r="D24" s="340">
        <f t="shared" si="6"/>
        <v>150834</v>
      </c>
      <c r="E24" s="340">
        <v>0</v>
      </c>
      <c r="F24" s="398">
        <f t="shared" si="7"/>
        <v>0</v>
      </c>
      <c r="G24" s="340">
        <v>6902</v>
      </c>
      <c r="H24" s="398">
        <f t="shared" si="8"/>
        <v>4.5758913772756804</v>
      </c>
      <c r="I24" s="340">
        <v>143932</v>
      </c>
      <c r="J24" s="398">
        <f t="shared" si="9"/>
        <v>95.424108622724319</v>
      </c>
      <c r="K24" s="340">
        <v>560</v>
      </c>
      <c r="L24" s="399">
        <f t="shared" si="10"/>
        <v>0.37126907726374692</v>
      </c>
    </row>
    <row r="25" spans="1:13" s="10" customFormat="1" ht="14.15" customHeight="1">
      <c r="A25" s="912"/>
      <c r="B25" s="340">
        <v>71</v>
      </c>
      <c r="C25" s="340" t="s">
        <v>721</v>
      </c>
      <c r="D25" s="340">
        <f t="shared" si="6"/>
        <v>32959</v>
      </c>
      <c r="E25" s="340">
        <v>0</v>
      </c>
      <c r="F25" s="398">
        <f t="shared" si="7"/>
        <v>0</v>
      </c>
      <c r="G25" s="340">
        <v>32542</v>
      </c>
      <c r="H25" s="398">
        <f t="shared" si="8"/>
        <v>98.734791710913555</v>
      </c>
      <c r="I25" s="340">
        <v>417</v>
      </c>
      <c r="J25" s="398">
        <f t="shared" si="9"/>
        <v>1.2652082890864407</v>
      </c>
      <c r="K25" s="340">
        <v>0</v>
      </c>
      <c r="L25" s="399">
        <f t="shared" si="10"/>
        <v>0</v>
      </c>
    </row>
    <row r="26" spans="1:13" s="10" customFormat="1" ht="14.15" customHeight="1">
      <c r="A26" s="912"/>
      <c r="B26" s="340">
        <v>78</v>
      </c>
      <c r="C26" s="340" t="s">
        <v>722</v>
      </c>
      <c r="D26" s="340">
        <f t="shared" si="6"/>
        <v>70222</v>
      </c>
      <c r="E26" s="340">
        <v>0</v>
      </c>
      <c r="F26" s="398">
        <f t="shared" si="7"/>
        <v>0</v>
      </c>
      <c r="G26" s="340">
        <v>21836</v>
      </c>
      <c r="H26" s="398">
        <f t="shared" si="8"/>
        <v>31.095668024265898</v>
      </c>
      <c r="I26" s="340">
        <v>48386</v>
      </c>
      <c r="J26" s="398">
        <f t="shared" si="9"/>
        <v>68.904331975734095</v>
      </c>
      <c r="K26" s="340">
        <v>1185</v>
      </c>
      <c r="L26" s="399">
        <f t="shared" si="10"/>
        <v>1.6875053402067728</v>
      </c>
    </row>
    <row r="27" spans="1:13" s="10" customFormat="1" ht="14.15" customHeight="1">
      <c r="A27" s="912"/>
      <c r="B27" s="340">
        <v>79</v>
      </c>
      <c r="C27" s="340" t="s">
        <v>723</v>
      </c>
      <c r="D27" s="340">
        <f t="shared" si="6"/>
        <v>51560</v>
      </c>
      <c r="E27" s="340">
        <v>0</v>
      </c>
      <c r="F27" s="398">
        <f t="shared" si="7"/>
        <v>0</v>
      </c>
      <c r="G27" s="340">
        <v>0</v>
      </c>
      <c r="H27" s="398">
        <f t="shared" si="8"/>
        <v>0</v>
      </c>
      <c r="I27" s="340">
        <v>51560</v>
      </c>
      <c r="J27" s="398">
        <f t="shared" si="9"/>
        <v>100</v>
      </c>
      <c r="K27" s="340">
        <v>6048</v>
      </c>
      <c r="L27" s="399">
        <f t="shared" si="10"/>
        <v>11.730023273855702</v>
      </c>
    </row>
    <row r="28" spans="1:13" s="10" customFormat="1" ht="14.15" customHeight="1">
      <c r="A28" s="912"/>
      <c r="B28" s="340">
        <v>80</v>
      </c>
      <c r="C28" s="340" t="s">
        <v>724</v>
      </c>
      <c r="D28" s="340">
        <f t="shared" si="6"/>
        <v>46072</v>
      </c>
      <c r="E28" s="340">
        <v>0</v>
      </c>
      <c r="F28" s="398">
        <f t="shared" si="7"/>
        <v>0</v>
      </c>
      <c r="G28" s="340">
        <v>42398</v>
      </c>
      <c r="H28" s="398">
        <f t="shared" si="8"/>
        <v>92.025525264802923</v>
      </c>
      <c r="I28" s="340">
        <v>3674</v>
      </c>
      <c r="J28" s="398">
        <f t="shared" si="9"/>
        <v>7.9744747351970835</v>
      </c>
      <c r="K28" s="340">
        <v>0</v>
      </c>
      <c r="L28" s="399">
        <f t="shared" si="10"/>
        <v>0</v>
      </c>
    </row>
    <row r="29" spans="1:13" s="10" customFormat="1" ht="14.15" customHeight="1" thickBot="1">
      <c r="A29" s="912"/>
      <c r="B29" s="342">
        <v>85</v>
      </c>
      <c r="C29" s="342" t="s">
        <v>725</v>
      </c>
      <c r="D29" s="342">
        <f t="shared" si="6"/>
        <v>45486</v>
      </c>
      <c r="E29" s="342">
        <v>1393</v>
      </c>
      <c r="F29" s="400">
        <f t="shared" si="7"/>
        <v>3.0624807633117883</v>
      </c>
      <c r="G29" s="342">
        <v>36571</v>
      </c>
      <c r="H29" s="400">
        <f t="shared" si="8"/>
        <v>80.400562810535121</v>
      </c>
      <c r="I29" s="342">
        <v>7522</v>
      </c>
      <c r="J29" s="400">
        <f t="shared" si="9"/>
        <v>16.5369564261531</v>
      </c>
      <c r="K29" s="342">
        <v>0</v>
      </c>
      <c r="L29" s="401">
        <f t="shared" si="10"/>
        <v>0</v>
      </c>
    </row>
    <row r="30" spans="1:13" s="343" customFormat="1" ht="14.15" customHeight="1" thickTop="1">
      <c r="A30" s="912"/>
      <c r="B30" s="252"/>
      <c r="C30" s="253" t="s">
        <v>34</v>
      </c>
      <c r="D30" s="402">
        <f>SUM(D19:D29)</f>
        <v>2277075</v>
      </c>
      <c r="E30" s="402">
        <f>SUM(E19:E29)</f>
        <v>367141</v>
      </c>
      <c r="F30" s="403">
        <f t="shared" si="7"/>
        <v>16.123360012296477</v>
      </c>
      <c r="G30" s="402">
        <f>SUM(G19:G29)</f>
        <v>1137482</v>
      </c>
      <c r="H30" s="403">
        <f t="shared" si="8"/>
        <v>49.953646673912807</v>
      </c>
      <c r="I30" s="402">
        <f>SUM(I19:I29)</f>
        <v>772452</v>
      </c>
      <c r="J30" s="403">
        <f t="shared" si="9"/>
        <v>33.92299331379072</v>
      </c>
      <c r="K30" s="402">
        <f>SUM(K19:K29)</f>
        <v>17609</v>
      </c>
      <c r="L30" s="404">
        <f t="shared" si="10"/>
        <v>0.77331664525762223</v>
      </c>
      <c r="M30" s="10"/>
    </row>
    <row r="31" spans="1:13" s="343" customFormat="1" ht="14.15" customHeight="1">
      <c r="A31" s="912"/>
      <c r="B31" s="263"/>
      <c r="C31" s="264"/>
      <c r="D31" s="358"/>
      <c r="E31" s="358"/>
      <c r="F31" s="405"/>
      <c r="G31" s="358"/>
      <c r="H31" s="405"/>
      <c r="I31" s="358"/>
      <c r="J31" s="405"/>
      <c r="K31" s="358"/>
      <c r="L31" s="406"/>
      <c r="M31" s="10"/>
    </row>
    <row r="32" spans="1:13" s="10" customFormat="1" ht="14.15" customHeight="1">
      <c r="A32" s="912" t="s">
        <v>512</v>
      </c>
      <c r="B32" s="339">
        <v>35</v>
      </c>
      <c r="C32" s="339" t="s">
        <v>726</v>
      </c>
      <c r="D32" s="339">
        <f t="shared" ref="D32:D39" si="11">E32+G32+I32</f>
        <v>619879</v>
      </c>
      <c r="E32" s="344">
        <v>26423</v>
      </c>
      <c r="F32" s="396">
        <f t="shared" ref="F32:F40" si="12">E32/$D32*100</f>
        <v>4.2626060892529027</v>
      </c>
      <c r="G32" s="339">
        <v>143318</v>
      </c>
      <c r="H32" s="396">
        <f t="shared" ref="H32:H40" si="13">G32/$D32*100</f>
        <v>23.120318642831908</v>
      </c>
      <c r="I32" s="339">
        <v>450138</v>
      </c>
      <c r="J32" s="396">
        <f t="shared" ref="J32:J40" si="14">I32/$D32*100</f>
        <v>72.617075267915183</v>
      </c>
      <c r="K32" s="339">
        <v>4454</v>
      </c>
      <c r="L32" s="397">
        <f t="shared" ref="L32:L40" si="15">K32/$D32*100</f>
        <v>0.71852732549416898</v>
      </c>
    </row>
    <row r="33" spans="1:13" s="10" customFormat="1" ht="14.15" customHeight="1">
      <c r="A33" s="912"/>
      <c r="B33" s="340">
        <v>29</v>
      </c>
      <c r="C33" s="340" t="s">
        <v>727</v>
      </c>
      <c r="D33" s="340">
        <f t="shared" si="11"/>
        <v>362507</v>
      </c>
      <c r="E33" s="340">
        <v>20865</v>
      </c>
      <c r="F33" s="398">
        <f t="shared" si="12"/>
        <v>5.755750923430444</v>
      </c>
      <c r="G33" s="340">
        <v>175973</v>
      </c>
      <c r="H33" s="398">
        <f t="shared" si="13"/>
        <v>48.543338473463962</v>
      </c>
      <c r="I33" s="340">
        <v>165669</v>
      </c>
      <c r="J33" s="398">
        <f t="shared" si="14"/>
        <v>45.700910603105591</v>
      </c>
      <c r="K33" s="340">
        <v>1111</v>
      </c>
      <c r="L33" s="399">
        <f t="shared" si="15"/>
        <v>0.30647684044721896</v>
      </c>
    </row>
    <row r="34" spans="1:13" s="10" customFormat="1" ht="14.15" customHeight="1">
      <c r="A34" s="912"/>
      <c r="B34" s="340">
        <v>25</v>
      </c>
      <c r="C34" s="340" t="s">
        <v>728</v>
      </c>
      <c r="D34" s="340">
        <f t="shared" si="11"/>
        <v>205001</v>
      </c>
      <c r="E34" s="340">
        <v>10315</v>
      </c>
      <c r="F34" s="398">
        <f t="shared" si="12"/>
        <v>5.0316827722791597</v>
      </c>
      <c r="G34" s="340">
        <v>120553</v>
      </c>
      <c r="H34" s="398">
        <f t="shared" si="13"/>
        <v>58.806054604611681</v>
      </c>
      <c r="I34" s="340">
        <v>74133</v>
      </c>
      <c r="J34" s="398">
        <f t="shared" si="14"/>
        <v>36.162262623109157</v>
      </c>
      <c r="K34" s="340">
        <v>187</v>
      </c>
      <c r="L34" s="399">
        <f t="shared" si="15"/>
        <v>9.1219067224062325E-2</v>
      </c>
    </row>
    <row r="35" spans="1:13" s="10" customFormat="1" ht="14.15" customHeight="1">
      <c r="A35" s="912"/>
      <c r="B35" s="340">
        <v>59</v>
      </c>
      <c r="C35" s="340" t="s">
        <v>730</v>
      </c>
      <c r="D35" s="340">
        <f t="shared" si="11"/>
        <v>229621</v>
      </c>
      <c r="E35" s="340">
        <v>1151</v>
      </c>
      <c r="F35" s="398">
        <f t="shared" si="12"/>
        <v>0.50126077318712137</v>
      </c>
      <c r="G35" s="340">
        <v>115088</v>
      </c>
      <c r="H35" s="398">
        <f t="shared" si="13"/>
        <v>50.120851315863966</v>
      </c>
      <c r="I35" s="340">
        <v>113382</v>
      </c>
      <c r="J35" s="398">
        <f t="shared" si="14"/>
        <v>49.377887910948907</v>
      </c>
      <c r="K35" s="340">
        <v>2043</v>
      </c>
      <c r="L35" s="399">
        <f t="shared" si="15"/>
        <v>0.88972698490120683</v>
      </c>
    </row>
    <row r="36" spans="1:13" s="10" customFormat="1" ht="14.15" customHeight="1">
      <c r="A36" s="912"/>
      <c r="B36" s="340">
        <v>66</v>
      </c>
      <c r="C36" s="340" t="s">
        <v>732</v>
      </c>
      <c r="D36" s="340">
        <f t="shared" si="11"/>
        <v>145661</v>
      </c>
      <c r="E36" s="340">
        <v>24252</v>
      </c>
      <c r="F36" s="398">
        <f t="shared" si="12"/>
        <v>16.649617948524316</v>
      </c>
      <c r="G36" s="340">
        <v>60188</v>
      </c>
      <c r="H36" s="398">
        <f t="shared" si="13"/>
        <v>41.32060057256232</v>
      </c>
      <c r="I36" s="340">
        <v>61221</v>
      </c>
      <c r="J36" s="398">
        <f t="shared" si="14"/>
        <v>42.029781478913371</v>
      </c>
      <c r="K36" s="340">
        <v>1496</v>
      </c>
      <c r="L36" s="399">
        <f t="shared" si="15"/>
        <v>1.0270422419178777</v>
      </c>
    </row>
    <row r="37" spans="1:13" s="10" customFormat="1" ht="14.15" customHeight="1">
      <c r="A37" s="912"/>
      <c r="B37" s="340">
        <v>64</v>
      </c>
      <c r="C37" s="340" t="s">
        <v>734</v>
      </c>
      <c r="D37" s="340">
        <f t="shared" si="11"/>
        <v>113130</v>
      </c>
      <c r="E37" s="340">
        <v>10062</v>
      </c>
      <c r="F37" s="398">
        <f t="shared" si="12"/>
        <v>8.8941925218774855</v>
      </c>
      <c r="G37" s="340">
        <v>0</v>
      </c>
      <c r="H37" s="398">
        <f t="shared" si="13"/>
        <v>0</v>
      </c>
      <c r="I37" s="340">
        <v>103068</v>
      </c>
      <c r="J37" s="398">
        <f t="shared" si="14"/>
        <v>91.105807478122514</v>
      </c>
      <c r="K37" s="340">
        <v>0</v>
      </c>
      <c r="L37" s="399">
        <f t="shared" si="15"/>
        <v>0</v>
      </c>
    </row>
    <row r="38" spans="1:13" s="10" customFormat="1" ht="14.15" customHeight="1">
      <c r="A38" s="912"/>
      <c r="B38" s="340">
        <v>88</v>
      </c>
      <c r="C38" s="340" t="s">
        <v>735</v>
      </c>
      <c r="D38" s="340">
        <f t="shared" si="11"/>
        <v>89884</v>
      </c>
      <c r="E38" s="340">
        <v>30091</v>
      </c>
      <c r="F38" s="398">
        <f t="shared" si="12"/>
        <v>33.477593342530369</v>
      </c>
      <c r="G38" s="340">
        <v>26892</v>
      </c>
      <c r="H38" s="398">
        <f t="shared" si="13"/>
        <v>29.918561701748921</v>
      </c>
      <c r="I38" s="340">
        <v>32901</v>
      </c>
      <c r="J38" s="398">
        <f t="shared" si="14"/>
        <v>36.603844955720703</v>
      </c>
      <c r="K38" s="340">
        <v>460</v>
      </c>
      <c r="L38" s="399">
        <f t="shared" si="15"/>
        <v>0.51177072671443202</v>
      </c>
    </row>
    <row r="39" spans="1:13" s="10" customFormat="1" ht="14.15" customHeight="1" thickBot="1">
      <c r="A39" s="912"/>
      <c r="B39" s="342">
        <v>52</v>
      </c>
      <c r="C39" s="342" t="s">
        <v>736</v>
      </c>
      <c r="D39" s="342">
        <f t="shared" si="11"/>
        <v>63382</v>
      </c>
      <c r="E39" s="342">
        <v>2890</v>
      </c>
      <c r="F39" s="400">
        <f t="shared" si="12"/>
        <v>4.559654160487205</v>
      </c>
      <c r="G39" s="342">
        <v>31485</v>
      </c>
      <c r="H39" s="400">
        <f t="shared" si="13"/>
        <v>49.67498658925247</v>
      </c>
      <c r="I39" s="342">
        <v>29007</v>
      </c>
      <c r="J39" s="400">
        <f t="shared" si="14"/>
        <v>45.765359250260332</v>
      </c>
      <c r="K39" s="342">
        <v>186</v>
      </c>
      <c r="L39" s="401">
        <f t="shared" si="15"/>
        <v>0.29345871067495505</v>
      </c>
    </row>
    <row r="40" spans="1:13" s="343" customFormat="1" ht="14.15" customHeight="1" thickTop="1">
      <c r="A40" s="912"/>
      <c r="B40" s="252"/>
      <c r="C40" s="253" t="s">
        <v>34</v>
      </c>
      <c r="D40" s="402">
        <f>SUM(D32:D39)</f>
        <v>1829065</v>
      </c>
      <c r="E40" s="402">
        <f>SUM(E32:E39)</f>
        <v>126049</v>
      </c>
      <c r="F40" s="403">
        <f t="shared" si="12"/>
        <v>6.891444535869419</v>
      </c>
      <c r="G40" s="402">
        <f>SUM(G32:G39)</f>
        <v>673497</v>
      </c>
      <c r="H40" s="403">
        <f t="shared" si="13"/>
        <v>36.821928143614365</v>
      </c>
      <c r="I40" s="402">
        <f>SUM(I32:I39)</f>
        <v>1029519</v>
      </c>
      <c r="J40" s="403">
        <f t="shared" si="14"/>
        <v>56.286627320516224</v>
      </c>
      <c r="K40" s="402">
        <f>SUM(K32:K39)</f>
        <v>9937</v>
      </c>
      <c r="L40" s="404">
        <f t="shared" si="15"/>
        <v>0.54328304352223677</v>
      </c>
      <c r="M40" s="10"/>
    </row>
    <row r="41" spans="1:13" s="343" customFormat="1" ht="14.15" customHeight="1">
      <c r="A41" s="912"/>
      <c r="B41" s="263"/>
      <c r="C41" s="264"/>
      <c r="D41" s="358"/>
      <c r="E41" s="358"/>
      <c r="F41" s="405"/>
      <c r="G41" s="358"/>
      <c r="H41" s="405"/>
      <c r="I41" s="358"/>
      <c r="J41" s="405"/>
      <c r="K41" s="358"/>
      <c r="L41" s="406"/>
      <c r="M41" s="10"/>
    </row>
    <row r="42" spans="1:13" s="10" customFormat="1" ht="14.15" customHeight="1">
      <c r="A42" s="912" t="s">
        <v>737</v>
      </c>
      <c r="B42" s="339">
        <v>70</v>
      </c>
      <c r="C42" s="339" t="s">
        <v>738</v>
      </c>
      <c r="D42" s="339">
        <f t="shared" ref="D42:D47" si="16">E42+G42+I42</f>
        <v>1099397</v>
      </c>
      <c r="E42" s="339">
        <v>236449</v>
      </c>
      <c r="F42" s="396">
        <f>E42/$D42*100</f>
        <v>21.507153466855012</v>
      </c>
      <c r="G42" s="339">
        <v>581759</v>
      </c>
      <c r="H42" s="396">
        <f>G42/$D42*100</f>
        <v>52.916189511159295</v>
      </c>
      <c r="I42" s="339">
        <v>281189</v>
      </c>
      <c r="J42" s="396">
        <f>I42/$D42*100</f>
        <v>25.576657021985689</v>
      </c>
      <c r="K42" s="339">
        <v>3775</v>
      </c>
      <c r="L42" s="397">
        <f>K42/$D42*100</f>
        <v>0.34337004739871041</v>
      </c>
    </row>
    <row r="43" spans="1:13" s="10" customFormat="1" ht="14.15" customHeight="1">
      <c r="A43" s="912"/>
      <c r="B43" s="341">
        <v>83</v>
      </c>
      <c r="C43" s="341" t="s">
        <v>739</v>
      </c>
      <c r="D43" s="341">
        <f t="shared" si="16"/>
        <v>204532</v>
      </c>
      <c r="E43" s="341">
        <v>0</v>
      </c>
      <c r="F43" s="407">
        <f t="shared" ref="F43:F45" si="17">E43/$D43*100</f>
        <v>0</v>
      </c>
      <c r="G43" s="341">
        <v>62167</v>
      </c>
      <c r="H43" s="407">
        <f t="shared" ref="H43:H47" si="18">G43/$D43*100</f>
        <v>30.394754854986019</v>
      </c>
      <c r="I43" s="341">
        <v>142365</v>
      </c>
      <c r="J43" s="407">
        <f t="shared" ref="J43:J46" si="19">I43/$D43*100</f>
        <v>69.605245145013981</v>
      </c>
      <c r="K43" s="341">
        <v>494</v>
      </c>
      <c r="L43" s="408">
        <f t="shared" ref="L43:L46" si="20">K43/$D43*100</f>
        <v>0.24152699822032739</v>
      </c>
    </row>
    <row r="44" spans="1:13" s="10" customFormat="1" ht="14.15" customHeight="1">
      <c r="A44" s="912"/>
      <c r="B44" s="341">
        <v>76</v>
      </c>
      <c r="C44" s="341" t="s">
        <v>740</v>
      </c>
      <c r="D44" s="341">
        <f t="shared" si="16"/>
        <v>100461</v>
      </c>
      <c r="E44" s="341">
        <v>0</v>
      </c>
      <c r="F44" s="407">
        <f t="shared" si="17"/>
        <v>0</v>
      </c>
      <c r="G44" s="341">
        <v>57134</v>
      </c>
      <c r="H44" s="407">
        <f t="shared" si="18"/>
        <v>56.871820905625071</v>
      </c>
      <c r="I44" s="341">
        <v>43327</v>
      </c>
      <c r="J44" s="407">
        <f t="shared" si="19"/>
        <v>43.128179094374929</v>
      </c>
      <c r="K44" s="341">
        <v>0</v>
      </c>
      <c r="L44" s="408">
        <f t="shared" si="20"/>
        <v>0</v>
      </c>
    </row>
    <row r="45" spans="1:13" s="10" customFormat="1" ht="14.15" customHeight="1">
      <c r="A45" s="912"/>
      <c r="B45" s="341">
        <v>93</v>
      </c>
      <c r="C45" s="341" t="s">
        <v>742</v>
      </c>
      <c r="D45" s="341">
        <f t="shared" si="16"/>
        <v>150748</v>
      </c>
      <c r="E45" s="341">
        <v>17371</v>
      </c>
      <c r="F45" s="407">
        <f t="shared" si="17"/>
        <v>11.523204287950753</v>
      </c>
      <c r="G45" s="341">
        <v>96946</v>
      </c>
      <c r="H45" s="407">
        <f t="shared" si="18"/>
        <v>64.309974261681745</v>
      </c>
      <c r="I45" s="341">
        <v>36431</v>
      </c>
      <c r="J45" s="407">
        <f t="shared" si="19"/>
        <v>24.1668214503675</v>
      </c>
      <c r="K45" s="341">
        <v>475</v>
      </c>
      <c r="L45" s="408">
        <f t="shared" si="20"/>
        <v>0.31509539098362827</v>
      </c>
    </row>
    <row r="46" spans="1:13" s="10" customFormat="1" ht="14.15" customHeight="1">
      <c r="A46" s="912"/>
      <c r="B46" s="340">
        <v>94</v>
      </c>
      <c r="C46" s="340" t="s">
        <v>837</v>
      </c>
      <c r="D46" s="340">
        <f t="shared" si="16"/>
        <v>110506</v>
      </c>
      <c r="E46" s="340">
        <v>0</v>
      </c>
      <c r="F46" s="398">
        <f>E46/$D46*100</f>
        <v>0</v>
      </c>
      <c r="G46" s="340">
        <v>0</v>
      </c>
      <c r="H46" s="398">
        <f t="shared" si="18"/>
        <v>0</v>
      </c>
      <c r="I46" s="340">
        <v>110506</v>
      </c>
      <c r="J46" s="398">
        <f t="shared" si="19"/>
        <v>100</v>
      </c>
      <c r="K46" s="340">
        <v>331</v>
      </c>
      <c r="L46" s="399">
        <f t="shared" si="20"/>
        <v>0.29953124717209928</v>
      </c>
    </row>
    <row r="47" spans="1:13" s="10" customFormat="1" ht="14.15" customHeight="1" thickBot="1">
      <c r="A47" s="912"/>
      <c r="B47" s="342">
        <v>91</v>
      </c>
      <c r="C47" s="342" t="s">
        <v>801</v>
      </c>
      <c r="D47" s="342">
        <f t="shared" si="16"/>
        <v>125344</v>
      </c>
      <c r="E47" s="342">
        <v>63414</v>
      </c>
      <c r="F47" s="400">
        <f>E47/$D47*100</f>
        <v>50.591970896093954</v>
      </c>
      <c r="G47" s="342">
        <v>33676</v>
      </c>
      <c r="H47" s="400">
        <f t="shared" si="18"/>
        <v>26.866862394689811</v>
      </c>
      <c r="I47" s="342">
        <v>28254</v>
      </c>
      <c r="J47" s="400">
        <f>I47/$D47*100</f>
        <v>22.541166709216238</v>
      </c>
      <c r="K47" s="342">
        <v>75</v>
      </c>
      <c r="L47" s="401">
        <f>K47/$D47*100</f>
        <v>5.9835333163135059E-2</v>
      </c>
    </row>
    <row r="48" spans="1:13" s="343" customFormat="1" ht="14.15" customHeight="1" thickTop="1">
      <c r="A48" s="912"/>
      <c r="B48" s="252"/>
      <c r="C48" s="253" t="s">
        <v>34</v>
      </c>
      <c r="D48" s="402">
        <f>SUM(D42:D47)</f>
        <v>1790988</v>
      </c>
      <c r="E48" s="402">
        <f>SUM(E42:E47)</f>
        <v>317234</v>
      </c>
      <c r="F48" s="403">
        <f>E48/$D48*100</f>
        <v>17.712793162209909</v>
      </c>
      <c r="G48" s="402">
        <f>SUM(G42:G47)</f>
        <v>831682</v>
      </c>
      <c r="H48" s="403">
        <f>G48/$D48*100</f>
        <v>46.437050387830624</v>
      </c>
      <c r="I48" s="402">
        <f>SUM(I42:I47)</f>
        <v>642072</v>
      </c>
      <c r="J48" s="403">
        <f>I48/$D48*100</f>
        <v>35.850156449959464</v>
      </c>
      <c r="K48" s="402">
        <f>SUM(K42:K47)</f>
        <v>5150</v>
      </c>
      <c r="L48" s="404">
        <f>K48/$D48*100</f>
        <v>0.2875507820264569</v>
      </c>
      <c r="M48" s="10"/>
    </row>
    <row r="49" spans="1:13" s="343" customFormat="1" ht="14.15" customHeight="1">
      <c r="A49" s="912"/>
      <c r="B49" s="263"/>
      <c r="C49" s="264"/>
      <c r="D49" s="358"/>
      <c r="E49" s="358"/>
      <c r="F49" s="405"/>
      <c r="G49" s="358"/>
      <c r="H49" s="405"/>
      <c r="I49" s="358"/>
      <c r="J49" s="405"/>
      <c r="K49" s="358"/>
      <c r="L49" s="406"/>
      <c r="M49" s="10"/>
    </row>
    <row r="50" spans="1:13" s="10" customFormat="1" ht="14.15" customHeight="1" thickBot="1">
      <c r="A50" s="912" t="s">
        <v>745</v>
      </c>
      <c r="B50" s="347">
        <v>20</v>
      </c>
      <c r="C50" s="347" t="s">
        <v>746</v>
      </c>
      <c r="D50" s="347">
        <f>E50+G50+I50</f>
        <v>92951</v>
      </c>
      <c r="E50" s="347">
        <v>5663</v>
      </c>
      <c r="F50" s="409">
        <f>E50/$D50*100</f>
        <v>6.0924573162203739</v>
      </c>
      <c r="G50" s="347">
        <v>50697</v>
      </c>
      <c r="H50" s="409">
        <f>G50/$D50*100</f>
        <v>54.541640219040147</v>
      </c>
      <c r="I50" s="347">
        <v>36591</v>
      </c>
      <c r="J50" s="409">
        <f>I50/$D50*100</f>
        <v>39.365902464739492</v>
      </c>
      <c r="K50" s="347">
        <v>0</v>
      </c>
      <c r="L50" s="410">
        <f>K50/$D50*100</f>
        <v>0</v>
      </c>
    </row>
    <row r="51" spans="1:13" s="343" customFormat="1" ht="14.15" customHeight="1" thickTop="1">
      <c r="A51" s="912"/>
      <c r="B51" s="252"/>
      <c r="C51" s="253" t="s">
        <v>34</v>
      </c>
      <c r="D51" s="402">
        <f>SUM(D50)</f>
        <v>92951</v>
      </c>
      <c r="E51" s="402">
        <f>SUM(E50)</f>
        <v>5663</v>
      </c>
      <c r="F51" s="403">
        <f>E51/$D51*100</f>
        <v>6.0924573162203739</v>
      </c>
      <c r="G51" s="402">
        <f>SUM(G50)</f>
        <v>50697</v>
      </c>
      <c r="H51" s="403">
        <f>G51/$D51*100</f>
        <v>54.541640219040147</v>
      </c>
      <c r="I51" s="402">
        <f>SUM(I50)</f>
        <v>36591</v>
      </c>
      <c r="J51" s="403">
        <f>I51/$D51*100</f>
        <v>39.365902464739492</v>
      </c>
      <c r="K51" s="402">
        <f>SUM(K50)</f>
        <v>0</v>
      </c>
      <c r="L51" s="404">
        <f>K51/$D51*100</f>
        <v>0</v>
      </c>
      <c r="M51" s="10"/>
    </row>
    <row r="52" spans="1:13" s="343" customFormat="1" ht="14.15" customHeight="1">
      <c r="A52" s="912"/>
      <c r="B52" s="263"/>
      <c r="C52" s="264"/>
      <c r="D52" s="358"/>
      <c r="E52" s="358"/>
      <c r="F52" s="405"/>
      <c r="G52" s="358"/>
      <c r="H52" s="405"/>
      <c r="I52" s="358"/>
      <c r="J52" s="405"/>
      <c r="K52" s="358"/>
      <c r="L52" s="406"/>
      <c r="M52" s="10"/>
    </row>
    <row r="53" spans="1:13" s="10" customFormat="1" ht="14.15" customHeight="1">
      <c r="A53" s="912" t="s">
        <v>516</v>
      </c>
      <c r="B53" s="339">
        <v>4</v>
      </c>
      <c r="C53" s="339" t="s">
        <v>915</v>
      </c>
      <c r="D53" s="339">
        <f t="shared" ref="D53:D59" si="21">E53+G53+I53</f>
        <v>1344849</v>
      </c>
      <c r="E53" s="339">
        <v>257305</v>
      </c>
      <c r="F53" s="396">
        <f t="shared" ref="F53:F60" si="22">E53/$D53*100</f>
        <v>19.132631247076809</v>
      </c>
      <c r="G53" s="339">
        <v>931051</v>
      </c>
      <c r="H53" s="396">
        <f t="shared" ref="H53:H60" si="23">G53/$D53*100</f>
        <v>69.230895067029834</v>
      </c>
      <c r="I53" s="339">
        <v>156493</v>
      </c>
      <c r="J53" s="396">
        <f t="shared" ref="J53:J60" si="24">I53/$D53*100</f>
        <v>11.63647368589336</v>
      </c>
      <c r="K53" s="339">
        <v>3483</v>
      </c>
      <c r="L53" s="397">
        <f t="shared" ref="L53:L60" si="25">K53/$D53*100</f>
        <v>0.25898818380353483</v>
      </c>
    </row>
    <row r="54" spans="1:13" s="10" customFormat="1" ht="14.15" customHeight="1">
      <c r="A54" s="912"/>
      <c r="B54" s="340">
        <v>19</v>
      </c>
      <c r="C54" s="340" t="s">
        <v>916</v>
      </c>
      <c r="D54" s="340">
        <f t="shared" si="21"/>
        <v>132814</v>
      </c>
      <c r="E54" s="340">
        <v>15178</v>
      </c>
      <c r="F54" s="398">
        <f t="shared" si="22"/>
        <v>11.428012107157377</v>
      </c>
      <c r="G54" s="340">
        <v>83617</v>
      </c>
      <c r="H54" s="398">
        <f t="shared" si="23"/>
        <v>62.957971298206516</v>
      </c>
      <c r="I54" s="340">
        <v>34019</v>
      </c>
      <c r="J54" s="398">
        <f t="shared" si="24"/>
        <v>25.614016594636109</v>
      </c>
      <c r="K54" s="340">
        <v>1604</v>
      </c>
      <c r="L54" s="399">
        <f t="shared" si="25"/>
        <v>1.2077040071076846</v>
      </c>
    </row>
    <row r="55" spans="1:13" s="10" customFormat="1" ht="14.15" customHeight="1">
      <c r="A55" s="912"/>
      <c r="B55" s="340">
        <v>41</v>
      </c>
      <c r="C55" s="340" t="s">
        <v>917</v>
      </c>
      <c r="D55" s="340">
        <f t="shared" si="21"/>
        <v>228899</v>
      </c>
      <c r="E55" s="340">
        <v>5507</v>
      </c>
      <c r="F55" s="398">
        <f>E55/$D55*100</f>
        <v>2.4058645953018583</v>
      </c>
      <c r="G55" s="340">
        <v>124385</v>
      </c>
      <c r="H55" s="398">
        <f>G55/$D55*100</f>
        <v>54.340560683969784</v>
      </c>
      <c r="I55" s="340">
        <v>99007</v>
      </c>
      <c r="J55" s="398">
        <f>I55/$D55*100</f>
        <v>43.253574720728352</v>
      </c>
      <c r="K55" s="340">
        <v>0</v>
      </c>
      <c r="L55" s="399">
        <f>K55/$D55*100</f>
        <v>0</v>
      </c>
    </row>
    <row r="56" spans="1:13" s="10" customFormat="1" ht="14.15" customHeight="1">
      <c r="A56" s="912"/>
      <c r="B56" s="340">
        <v>47</v>
      </c>
      <c r="C56" s="340" t="s">
        <v>918</v>
      </c>
      <c r="D56" s="340">
        <f t="shared" si="21"/>
        <v>110943</v>
      </c>
      <c r="E56" s="340">
        <v>7375</v>
      </c>
      <c r="F56" s="398">
        <f>E56/$D56*100</f>
        <v>6.6475577548831382</v>
      </c>
      <c r="G56" s="340">
        <v>72660</v>
      </c>
      <c r="H56" s="398">
        <f>G56/$D56*100</f>
        <v>65.493091046753733</v>
      </c>
      <c r="I56" s="340">
        <v>30908</v>
      </c>
      <c r="J56" s="398">
        <f>I56/$D56*100</f>
        <v>27.859351198363125</v>
      </c>
      <c r="K56" s="340">
        <v>44</v>
      </c>
      <c r="L56" s="399">
        <f>K56/$D56*100</f>
        <v>3.9660005588455331E-2</v>
      </c>
    </row>
    <row r="57" spans="1:13" s="10" customFormat="1" ht="14.15" customHeight="1">
      <c r="A57" s="912"/>
      <c r="B57" s="340">
        <v>46</v>
      </c>
      <c r="C57" s="340" t="s">
        <v>909</v>
      </c>
      <c r="D57" s="340">
        <f t="shared" si="21"/>
        <v>636498</v>
      </c>
      <c r="E57" s="340">
        <v>150298</v>
      </c>
      <c r="F57" s="398">
        <f t="shared" si="22"/>
        <v>23.613271369273743</v>
      </c>
      <c r="G57" s="340">
        <v>160877</v>
      </c>
      <c r="H57" s="398">
        <f t="shared" si="23"/>
        <v>25.275334722182947</v>
      </c>
      <c r="I57" s="340">
        <v>325323</v>
      </c>
      <c r="J57" s="398">
        <f t="shared" si="24"/>
        <v>51.111393908543313</v>
      </c>
      <c r="K57" s="340">
        <v>2664</v>
      </c>
      <c r="L57" s="399">
        <f t="shared" si="25"/>
        <v>0.41854019965498712</v>
      </c>
    </row>
    <row r="58" spans="1:13" s="10" customFormat="1" ht="14.15" customHeight="1">
      <c r="A58" s="912"/>
      <c r="B58" s="239">
        <v>89</v>
      </c>
      <c r="C58" s="239" t="s">
        <v>753</v>
      </c>
      <c r="D58" s="346">
        <f t="shared" si="21"/>
        <v>1216580</v>
      </c>
      <c r="E58" s="340">
        <v>0</v>
      </c>
      <c r="F58" s="398">
        <f t="shared" si="22"/>
        <v>0</v>
      </c>
      <c r="G58" s="340">
        <v>611019</v>
      </c>
      <c r="H58" s="398">
        <f t="shared" si="23"/>
        <v>50.224317348633051</v>
      </c>
      <c r="I58" s="346">
        <v>605561</v>
      </c>
      <c r="J58" s="398">
        <f t="shared" si="24"/>
        <v>49.775682651366949</v>
      </c>
      <c r="K58" s="346">
        <v>3916</v>
      </c>
      <c r="L58" s="399">
        <f t="shared" si="25"/>
        <v>0.32188594256029196</v>
      </c>
    </row>
    <row r="59" spans="1:13" s="10" customFormat="1" ht="14.15" customHeight="1" thickBot="1">
      <c r="A59" s="912"/>
      <c r="B59" s="247">
        <v>32</v>
      </c>
      <c r="C59" s="247" t="s">
        <v>754</v>
      </c>
      <c r="D59" s="342">
        <f t="shared" si="21"/>
        <v>77931</v>
      </c>
      <c r="E59" s="340">
        <v>1434</v>
      </c>
      <c r="F59" s="400">
        <f t="shared" si="22"/>
        <v>1.840089309774031</v>
      </c>
      <c r="G59" s="340">
        <v>64847</v>
      </c>
      <c r="H59" s="400">
        <f t="shared" si="23"/>
        <v>83.210789031322591</v>
      </c>
      <c r="I59" s="342">
        <v>11650</v>
      </c>
      <c r="J59" s="400">
        <f t="shared" si="24"/>
        <v>14.949121658903389</v>
      </c>
      <c r="K59" s="342">
        <v>763</v>
      </c>
      <c r="L59" s="401">
        <f t="shared" si="25"/>
        <v>0.97907122967753524</v>
      </c>
    </row>
    <row r="60" spans="1:13" s="343" customFormat="1" ht="14.15" customHeight="1" thickTop="1">
      <c r="A60" s="912"/>
      <c r="B60" s="252"/>
      <c r="C60" s="253" t="s">
        <v>34</v>
      </c>
      <c r="D60" s="402">
        <f>SUM(D53:D59)</f>
        <v>3748514</v>
      </c>
      <c r="E60" s="402">
        <f>SUM(E53:E59)</f>
        <v>437097</v>
      </c>
      <c r="F60" s="403">
        <f t="shared" si="22"/>
        <v>11.660540683588216</v>
      </c>
      <c r="G60" s="402">
        <f>SUM(G53:G59)</f>
        <v>2048456</v>
      </c>
      <c r="H60" s="403">
        <f t="shared" si="23"/>
        <v>54.647148176584103</v>
      </c>
      <c r="I60" s="402">
        <f>SUM(I53:I59)</f>
        <v>1262961</v>
      </c>
      <c r="J60" s="403">
        <f t="shared" si="24"/>
        <v>33.692311139827673</v>
      </c>
      <c r="K60" s="402">
        <f>SUM(K53:K59)</f>
        <v>12474</v>
      </c>
      <c r="L60" s="404">
        <f t="shared" si="25"/>
        <v>0.33277186639825806</v>
      </c>
      <c r="M60" s="10"/>
    </row>
    <row r="61" spans="1:13" s="343" customFormat="1" ht="14.15" customHeight="1">
      <c r="A61" s="912"/>
      <c r="B61" s="263"/>
      <c r="C61" s="264"/>
      <c r="D61" s="358"/>
      <c r="E61" s="358"/>
      <c r="F61" s="405"/>
      <c r="G61" s="358"/>
      <c r="H61" s="405"/>
      <c r="I61" s="358"/>
      <c r="J61" s="405"/>
      <c r="K61" s="358"/>
      <c r="L61" s="406"/>
      <c r="M61" s="10"/>
    </row>
    <row r="62" spans="1:13" s="10" customFormat="1" ht="14.15" customHeight="1">
      <c r="A62" s="913" t="s">
        <v>520</v>
      </c>
      <c r="B62" s="339">
        <v>9</v>
      </c>
      <c r="C62" s="339" t="s">
        <v>755</v>
      </c>
      <c r="D62" s="339">
        <f t="shared" ref="D62:D65" si="26">E62+G62+I62</f>
        <v>359640</v>
      </c>
      <c r="E62" s="340">
        <v>35864</v>
      </c>
      <c r="F62" s="396">
        <f>E62/$D62*100</f>
        <v>9.9721944166388603</v>
      </c>
      <c r="G62" s="339">
        <v>207220</v>
      </c>
      <c r="H62" s="396">
        <f>G62/$D62*100</f>
        <v>57.618729840952064</v>
      </c>
      <c r="I62" s="339">
        <v>116556</v>
      </c>
      <c r="J62" s="396">
        <f>I62/$D62*100</f>
        <v>32.40907574240908</v>
      </c>
      <c r="K62" s="339">
        <v>391</v>
      </c>
      <c r="L62" s="397">
        <f>K62/$D62*100</f>
        <v>0.10871983094205316</v>
      </c>
    </row>
    <row r="63" spans="1:13" s="10" customFormat="1" ht="14.15" customHeight="1">
      <c r="A63" s="913"/>
      <c r="B63" s="340">
        <v>22</v>
      </c>
      <c r="C63" s="340" t="s">
        <v>757</v>
      </c>
      <c r="D63" s="340">
        <f t="shared" si="26"/>
        <v>94801</v>
      </c>
      <c r="E63" s="340">
        <v>3572</v>
      </c>
      <c r="F63" s="398">
        <f>E63/$D63*100</f>
        <v>3.7678927437474288</v>
      </c>
      <c r="G63" s="340">
        <v>73974</v>
      </c>
      <c r="H63" s="398">
        <f>G63/$D63*100</f>
        <v>78.030822459678689</v>
      </c>
      <c r="I63" s="340">
        <v>17255</v>
      </c>
      <c r="J63" s="398">
        <f>I63/$D63*100</f>
        <v>18.201284796573873</v>
      </c>
      <c r="K63" s="340">
        <v>2651</v>
      </c>
      <c r="L63" s="399">
        <f>K63/$D63*100</f>
        <v>2.7963840043881394</v>
      </c>
    </row>
    <row r="64" spans="1:13" s="10" customFormat="1" ht="14.15" customHeight="1">
      <c r="A64" s="913"/>
      <c r="B64" s="340">
        <v>74</v>
      </c>
      <c r="C64" s="340" t="s">
        <v>758</v>
      </c>
      <c r="D64" s="340">
        <f t="shared" si="26"/>
        <v>127959</v>
      </c>
      <c r="E64" s="340">
        <v>3673</v>
      </c>
      <c r="F64" s="398">
        <f>E64/$D64*100</f>
        <v>2.8704506912370369</v>
      </c>
      <c r="G64" s="340">
        <v>84150</v>
      </c>
      <c r="H64" s="398">
        <f>G64/$D64*100</f>
        <v>65.763252291749694</v>
      </c>
      <c r="I64" s="340">
        <v>40136</v>
      </c>
      <c r="J64" s="398">
        <f>I64/$D64*100</f>
        <v>31.366297017013263</v>
      </c>
      <c r="K64" s="340">
        <v>235</v>
      </c>
      <c r="L64" s="399">
        <f>K64/$D64*100</f>
        <v>0.18365257621581912</v>
      </c>
    </row>
    <row r="65" spans="1:13" s="10" customFormat="1" ht="14.15" customHeight="1" thickBot="1">
      <c r="A65" s="913"/>
      <c r="B65" s="342">
        <v>63</v>
      </c>
      <c r="C65" s="342" t="s">
        <v>759</v>
      </c>
      <c r="D65" s="342">
        <f t="shared" si="26"/>
        <v>202334</v>
      </c>
      <c r="E65" s="342">
        <v>69951</v>
      </c>
      <c r="F65" s="400">
        <f>E65/$D65*100</f>
        <v>34.572044243676295</v>
      </c>
      <c r="G65" s="342">
        <v>85093</v>
      </c>
      <c r="H65" s="400">
        <f>G65/$D65*100</f>
        <v>42.055709865865353</v>
      </c>
      <c r="I65" s="342">
        <v>47290</v>
      </c>
      <c r="J65" s="400">
        <f>I65/$D65*100</f>
        <v>23.372245890458352</v>
      </c>
      <c r="K65" s="342">
        <v>877</v>
      </c>
      <c r="L65" s="401">
        <f>K65/$D65*100</f>
        <v>0.43344173495309735</v>
      </c>
    </row>
    <row r="66" spans="1:13" s="343" customFormat="1" ht="14.15" customHeight="1" thickTop="1">
      <c r="A66" s="913"/>
      <c r="B66" s="252"/>
      <c r="C66" s="253" t="s">
        <v>34</v>
      </c>
      <c r="D66" s="402">
        <f>SUM(D62:D65)</f>
        <v>784734</v>
      </c>
      <c r="E66" s="402">
        <f>SUM(E62:E65)</f>
        <v>113060</v>
      </c>
      <c r="F66" s="403">
        <f>E66/$D66*100</f>
        <v>14.407429778753055</v>
      </c>
      <c r="G66" s="402">
        <f>SUM(G62:G65)</f>
        <v>450437</v>
      </c>
      <c r="H66" s="403">
        <f>G66/$D66*100</f>
        <v>57.39995973157783</v>
      </c>
      <c r="I66" s="402">
        <f>SUM(I62:I65)</f>
        <v>221237</v>
      </c>
      <c r="J66" s="403">
        <f>I66/$D66*100</f>
        <v>28.192610489669111</v>
      </c>
      <c r="K66" s="402">
        <f>SUM(K62:K65)</f>
        <v>4154</v>
      </c>
      <c r="L66" s="404">
        <f>K66/$D66*100</f>
        <v>0.52935134708066689</v>
      </c>
      <c r="M66" s="10"/>
    </row>
    <row r="67" spans="1:13" s="343" customFormat="1" ht="14.15" customHeight="1">
      <c r="A67" s="913"/>
      <c r="B67" s="263"/>
      <c r="C67" s="264"/>
      <c r="D67" s="358"/>
      <c r="E67" s="358"/>
      <c r="F67" s="405"/>
      <c r="G67" s="358"/>
      <c r="H67" s="405"/>
      <c r="I67" s="358"/>
      <c r="J67" s="405"/>
      <c r="K67" s="358"/>
      <c r="L67" s="406"/>
      <c r="M67" s="10"/>
    </row>
    <row r="68" spans="1:13" s="10" customFormat="1" ht="14.15" customHeight="1">
      <c r="A68" s="912" t="s">
        <v>255</v>
      </c>
      <c r="B68" s="339">
        <v>57</v>
      </c>
      <c r="C68" s="339" t="s">
        <v>517</v>
      </c>
      <c r="D68" s="339">
        <f t="shared" ref="D68:D76" si="27">E68+G68+I68</f>
        <v>1459981</v>
      </c>
      <c r="E68" s="339">
        <v>129322</v>
      </c>
      <c r="F68" s="396">
        <f t="shared" ref="F68:F77" si="28">E68/$D68*100</f>
        <v>8.8577865054408242</v>
      </c>
      <c r="G68" s="339">
        <v>729225</v>
      </c>
      <c r="H68" s="396">
        <f t="shared" ref="H68:H77" si="29">G68/$D68*100</f>
        <v>49.947567810813979</v>
      </c>
      <c r="I68" s="339">
        <v>601434</v>
      </c>
      <c r="J68" s="396">
        <f t="shared" ref="J68:J77" si="30">I68/$D68*100</f>
        <v>41.1946456837452</v>
      </c>
      <c r="K68" s="339">
        <v>8139</v>
      </c>
      <c r="L68" s="397">
        <f t="shared" ref="L68:L77" si="31">K68/$D68*100</f>
        <v>0.55747300821038082</v>
      </c>
    </row>
    <row r="69" spans="1:13" s="10" customFormat="1" ht="14.15" customHeight="1">
      <c r="A69" s="912"/>
      <c r="B69" s="340">
        <v>1</v>
      </c>
      <c r="C69" s="340" t="s">
        <v>760</v>
      </c>
      <c r="D69" s="340">
        <f t="shared" si="27"/>
        <v>2468970</v>
      </c>
      <c r="E69" s="340">
        <v>565362</v>
      </c>
      <c r="F69" s="398">
        <f t="shared" si="28"/>
        <v>22.898698647614189</v>
      </c>
      <c r="G69" s="340">
        <v>1166487</v>
      </c>
      <c r="H69" s="398">
        <f t="shared" si="29"/>
        <v>47.245896061920554</v>
      </c>
      <c r="I69" s="340">
        <v>737121</v>
      </c>
      <c r="J69" s="398">
        <f t="shared" si="30"/>
        <v>29.855405290465253</v>
      </c>
      <c r="K69" s="340">
        <v>19496</v>
      </c>
      <c r="L69" s="399">
        <f t="shared" si="31"/>
        <v>0.789641024394788</v>
      </c>
    </row>
    <row r="70" spans="1:13" s="10" customFormat="1" ht="14.15" customHeight="1">
      <c r="A70" s="912"/>
      <c r="B70" s="340">
        <v>10</v>
      </c>
      <c r="C70" s="340" t="s">
        <v>761</v>
      </c>
      <c r="D70" s="340">
        <f t="shared" si="27"/>
        <v>424088</v>
      </c>
      <c r="E70" s="340">
        <v>30999</v>
      </c>
      <c r="F70" s="398">
        <f t="shared" si="28"/>
        <v>7.309567825545642</v>
      </c>
      <c r="G70" s="340">
        <v>280111</v>
      </c>
      <c r="H70" s="398">
        <f t="shared" si="29"/>
        <v>66.050206560902453</v>
      </c>
      <c r="I70" s="340">
        <v>112978</v>
      </c>
      <c r="J70" s="398">
        <f t="shared" si="30"/>
        <v>26.640225613551905</v>
      </c>
      <c r="K70" s="340">
        <v>462</v>
      </c>
      <c r="L70" s="399">
        <f t="shared" si="31"/>
        <v>0.1089396540340684</v>
      </c>
    </row>
    <row r="71" spans="1:13" s="10" customFormat="1" ht="14.15" customHeight="1">
      <c r="A71" s="912"/>
      <c r="B71" s="340">
        <v>26</v>
      </c>
      <c r="C71" s="340" t="s">
        <v>762</v>
      </c>
      <c r="D71" s="340">
        <f t="shared" si="27"/>
        <v>94812</v>
      </c>
      <c r="E71" s="340">
        <v>12840</v>
      </c>
      <c r="F71" s="398">
        <f t="shared" si="28"/>
        <v>13.542589545627134</v>
      </c>
      <c r="G71" s="340">
        <v>21362</v>
      </c>
      <c r="H71" s="398">
        <f t="shared" si="29"/>
        <v>22.530903261190566</v>
      </c>
      <c r="I71" s="340">
        <v>60610</v>
      </c>
      <c r="J71" s="398">
        <f t="shared" si="30"/>
        <v>63.926507193182303</v>
      </c>
      <c r="K71" s="340">
        <v>95</v>
      </c>
      <c r="L71" s="399">
        <f t="shared" si="31"/>
        <v>0.10019828713664937</v>
      </c>
    </row>
    <row r="72" spans="1:13" s="10" customFormat="1" ht="14.15" customHeight="1">
      <c r="A72" s="912"/>
      <c r="B72" s="340">
        <v>15</v>
      </c>
      <c r="C72" s="340" t="s">
        <v>763</v>
      </c>
      <c r="D72" s="340">
        <f t="shared" si="27"/>
        <v>89618</v>
      </c>
      <c r="E72" s="340">
        <v>6402</v>
      </c>
      <c r="F72" s="398">
        <f t="shared" si="28"/>
        <v>7.1436541766163044</v>
      </c>
      <c r="G72" s="340">
        <v>3723</v>
      </c>
      <c r="H72" s="398">
        <f t="shared" si="29"/>
        <v>4.1542993595036712</v>
      </c>
      <c r="I72" s="340">
        <v>79493</v>
      </c>
      <c r="J72" s="398">
        <f t="shared" si="30"/>
        <v>88.702046463880023</v>
      </c>
      <c r="K72" s="340">
        <v>142</v>
      </c>
      <c r="L72" s="399">
        <f t="shared" si="31"/>
        <v>0.15845031132138634</v>
      </c>
    </row>
    <row r="73" spans="1:13" s="10" customFormat="1" ht="14.15" customHeight="1">
      <c r="A73" s="912"/>
      <c r="B73" s="340">
        <v>87</v>
      </c>
      <c r="C73" s="340" t="s">
        <v>764</v>
      </c>
      <c r="D73" s="340">
        <f t="shared" si="27"/>
        <v>85123</v>
      </c>
      <c r="E73" s="340">
        <v>15426</v>
      </c>
      <c r="F73" s="398">
        <f t="shared" si="28"/>
        <v>18.122011677220023</v>
      </c>
      <c r="G73" s="340">
        <v>39172</v>
      </c>
      <c r="H73" s="398">
        <f t="shared" si="29"/>
        <v>46.018114963053463</v>
      </c>
      <c r="I73" s="340">
        <v>30525</v>
      </c>
      <c r="J73" s="398">
        <f t="shared" si="30"/>
        <v>35.859873359726514</v>
      </c>
      <c r="K73" s="340">
        <v>16</v>
      </c>
      <c r="L73" s="399">
        <f t="shared" si="31"/>
        <v>1.8796330016564267E-2</v>
      </c>
    </row>
    <row r="74" spans="1:13" s="10" customFormat="1" ht="14.15" customHeight="1">
      <c r="A74" s="912"/>
      <c r="B74" s="340">
        <v>81</v>
      </c>
      <c r="C74" s="340" t="s">
        <v>765</v>
      </c>
      <c r="D74" s="340">
        <f t="shared" si="27"/>
        <v>237623</v>
      </c>
      <c r="E74" s="340">
        <v>74404</v>
      </c>
      <c r="F74" s="398">
        <f t="shared" si="28"/>
        <v>31.311783791972996</v>
      </c>
      <c r="G74" s="340">
        <v>108031</v>
      </c>
      <c r="H74" s="398">
        <f t="shared" si="29"/>
        <v>45.463191694406682</v>
      </c>
      <c r="I74" s="340">
        <v>55188</v>
      </c>
      <c r="J74" s="398">
        <f t="shared" si="30"/>
        <v>23.225024513620316</v>
      </c>
      <c r="K74" s="340">
        <v>98</v>
      </c>
      <c r="L74" s="399">
        <f t="shared" si="31"/>
        <v>4.1241798984105078E-2</v>
      </c>
    </row>
    <row r="75" spans="1:13" s="10" customFormat="1" ht="14.15" customHeight="1">
      <c r="A75" s="912"/>
      <c r="B75" s="340">
        <v>54</v>
      </c>
      <c r="C75" s="340" t="s">
        <v>766</v>
      </c>
      <c r="D75" s="340">
        <f t="shared" si="27"/>
        <v>154390</v>
      </c>
      <c r="E75" s="340">
        <v>39851</v>
      </c>
      <c r="F75" s="398">
        <f t="shared" si="28"/>
        <v>25.81190491612151</v>
      </c>
      <c r="G75" s="340">
        <v>67351</v>
      </c>
      <c r="H75" s="398">
        <f t="shared" si="29"/>
        <v>43.62393937431181</v>
      </c>
      <c r="I75" s="340">
        <v>47188</v>
      </c>
      <c r="J75" s="398">
        <f t="shared" si="30"/>
        <v>30.56415570956668</v>
      </c>
      <c r="K75" s="340">
        <v>24</v>
      </c>
      <c r="L75" s="399">
        <f t="shared" si="31"/>
        <v>1.5545048254420624E-2</v>
      </c>
    </row>
    <row r="76" spans="1:13" s="10" customFormat="1" ht="14.15" customHeight="1" thickBot="1">
      <c r="A76" s="912"/>
      <c r="B76" s="342">
        <v>75</v>
      </c>
      <c r="C76" s="342" t="s">
        <v>767</v>
      </c>
      <c r="D76" s="342">
        <f t="shared" si="27"/>
        <v>85062</v>
      </c>
      <c r="E76" s="342">
        <v>1353</v>
      </c>
      <c r="F76" s="400">
        <f t="shared" si="28"/>
        <v>1.5906045002468787</v>
      </c>
      <c r="G76" s="342">
        <v>57060</v>
      </c>
      <c r="H76" s="400">
        <f t="shared" si="29"/>
        <v>67.080482471608946</v>
      </c>
      <c r="I76" s="342">
        <v>26649</v>
      </c>
      <c r="J76" s="400">
        <f t="shared" si="30"/>
        <v>31.328913028144179</v>
      </c>
      <c r="K76" s="342">
        <v>83</v>
      </c>
      <c r="L76" s="401">
        <f t="shared" si="31"/>
        <v>9.7575885824457448E-2</v>
      </c>
    </row>
    <row r="77" spans="1:13" s="343" customFormat="1" ht="14.15" customHeight="1" thickTop="1">
      <c r="A77" s="912"/>
      <c r="B77" s="252"/>
      <c r="C77" s="253" t="s">
        <v>34</v>
      </c>
      <c r="D77" s="402">
        <f>SUM(D68:D76)</f>
        <v>5099667</v>
      </c>
      <c r="E77" s="402">
        <f>SUM(E68:E76)</f>
        <v>875959</v>
      </c>
      <c r="F77" s="403">
        <f t="shared" si="28"/>
        <v>17.176788209896841</v>
      </c>
      <c r="G77" s="402">
        <f>SUM(G68:G76)</f>
        <v>2472522</v>
      </c>
      <c r="H77" s="403">
        <f t="shared" si="29"/>
        <v>48.483989248709769</v>
      </c>
      <c r="I77" s="402">
        <f>SUM(I68:I76)</f>
        <v>1751186</v>
      </c>
      <c r="J77" s="403">
        <f t="shared" si="30"/>
        <v>34.33922254139339</v>
      </c>
      <c r="K77" s="402">
        <f>SUM(K68:K76)</f>
        <v>28555</v>
      </c>
      <c r="L77" s="404">
        <f t="shared" si="31"/>
        <v>0.55993852147601009</v>
      </c>
      <c r="M77" s="10"/>
    </row>
    <row r="78" spans="1:13" s="343" customFormat="1" ht="14.15" customHeight="1">
      <c r="A78" s="912"/>
      <c r="B78" s="263"/>
      <c r="C78" s="264"/>
      <c r="D78" s="358"/>
      <c r="E78" s="358"/>
      <c r="F78" s="405"/>
      <c r="G78" s="358"/>
      <c r="H78" s="405"/>
      <c r="I78" s="358"/>
      <c r="J78" s="405"/>
      <c r="K78" s="358"/>
      <c r="L78" s="406"/>
      <c r="M78" s="10"/>
    </row>
    <row r="79" spans="1:13" s="10" customFormat="1" ht="14.15" customHeight="1">
      <c r="A79" s="912" t="s">
        <v>768</v>
      </c>
      <c r="B79" s="339">
        <v>2</v>
      </c>
      <c r="C79" s="339" t="s">
        <v>769</v>
      </c>
      <c r="D79" s="339">
        <f t="shared" ref="D79:D83" si="32">E79+G79+I79</f>
        <v>352731</v>
      </c>
      <c r="E79" s="340">
        <v>15719</v>
      </c>
      <c r="F79" s="396">
        <f t="shared" ref="F79:F84" si="33">E79/$D79*100</f>
        <v>4.4563704352608644</v>
      </c>
      <c r="G79" s="344">
        <v>245967</v>
      </c>
      <c r="H79" s="396">
        <f t="shared" ref="H79:H84" si="34">G79/$D79*100</f>
        <v>69.732175510516512</v>
      </c>
      <c r="I79" s="339">
        <v>91045</v>
      </c>
      <c r="J79" s="396">
        <f t="shared" ref="J79:J84" si="35">I79/$D79*100</f>
        <v>25.811454054222622</v>
      </c>
      <c r="K79" s="339">
        <v>346</v>
      </c>
      <c r="L79" s="397">
        <f t="shared" ref="L79:L84" si="36">K79/$D79*100</f>
        <v>9.8091746968653165E-2</v>
      </c>
    </row>
    <row r="80" spans="1:13" s="10" customFormat="1" ht="14.15" customHeight="1">
      <c r="A80" s="912"/>
      <c r="B80" s="340">
        <v>27</v>
      </c>
      <c r="C80" s="340" t="s">
        <v>770</v>
      </c>
      <c r="D80" s="340">
        <f t="shared" si="32"/>
        <v>367186</v>
      </c>
      <c r="E80" s="340">
        <v>48205</v>
      </c>
      <c r="F80" s="398">
        <f t="shared" si="33"/>
        <v>13.128223842956977</v>
      </c>
      <c r="G80" s="340">
        <v>231386</v>
      </c>
      <c r="H80" s="398">
        <f t="shared" si="34"/>
        <v>63.01601912926963</v>
      </c>
      <c r="I80" s="340">
        <v>87595</v>
      </c>
      <c r="J80" s="398">
        <f t="shared" si="35"/>
        <v>23.855757027773389</v>
      </c>
      <c r="K80" s="340">
        <v>327</v>
      </c>
      <c r="L80" s="399">
        <f t="shared" si="36"/>
        <v>8.9055682950875029E-2</v>
      </c>
    </row>
    <row r="81" spans="1:14" s="10" customFormat="1" ht="14.15" customHeight="1">
      <c r="A81" s="912"/>
      <c r="B81" s="340">
        <v>21</v>
      </c>
      <c r="C81" s="340" t="s">
        <v>771</v>
      </c>
      <c r="D81" s="340">
        <f t="shared" si="32"/>
        <v>104639</v>
      </c>
      <c r="E81" s="340">
        <v>5795</v>
      </c>
      <c r="F81" s="398">
        <f t="shared" si="33"/>
        <v>5.5380880933495158</v>
      </c>
      <c r="G81" s="340">
        <v>4738</v>
      </c>
      <c r="H81" s="398">
        <f t="shared" si="34"/>
        <v>4.5279484704555664</v>
      </c>
      <c r="I81" s="340">
        <v>94106</v>
      </c>
      <c r="J81" s="398">
        <f t="shared" si="35"/>
        <v>89.933963436194915</v>
      </c>
      <c r="K81" s="340">
        <v>98</v>
      </c>
      <c r="L81" s="399">
        <f t="shared" si="36"/>
        <v>9.3655329274935736E-2</v>
      </c>
      <c r="N81" s="11"/>
    </row>
    <row r="82" spans="1:14" s="10" customFormat="1" ht="14.15" customHeight="1">
      <c r="A82" s="912"/>
      <c r="B82" s="340">
        <v>40</v>
      </c>
      <c r="C82" s="340" t="s">
        <v>772</v>
      </c>
      <c r="D82" s="340">
        <f t="shared" si="32"/>
        <v>65466</v>
      </c>
      <c r="E82" s="340">
        <v>300</v>
      </c>
      <c r="F82" s="398">
        <f t="shared" si="33"/>
        <v>0.45825313903400239</v>
      </c>
      <c r="G82" s="340">
        <v>55659</v>
      </c>
      <c r="H82" s="398">
        <f t="shared" si="34"/>
        <v>85.019704884978466</v>
      </c>
      <c r="I82" s="340">
        <v>9507</v>
      </c>
      <c r="J82" s="398">
        <f t="shared" si="35"/>
        <v>14.522041975987534</v>
      </c>
      <c r="K82" s="340">
        <v>0</v>
      </c>
      <c r="L82" s="399">
        <f t="shared" si="36"/>
        <v>0</v>
      </c>
    </row>
    <row r="83" spans="1:14" s="10" customFormat="1" ht="14.15" customHeight="1" thickBot="1">
      <c r="A83" s="912"/>
      <c r="B83" s="342">
        <v>23</v>
      </c>
      <c r="C83" s="342" t="s">
        <v>773</v>
      </c>
      <c r="D83" s="342">
        <f t="shared" si="32"/>
        <v>33166</v>
      </c>
      <c r="E83" s="342">
        <v>7527</v>
      </c>
      <c r="F83" s="400">
        <f t="shared" si="33"/>
        <v>22.694928541277211</v>
      </c>
      <c r="G83" s="342">
        <v>25639</v>
      </c>
      <c r="H83" s="400">
        <f t="shared" si="34"/>
        <v>77.305071458722779</v>
      </c>
      <c r="I83" s="342">
        <v>0</v>
      </c>
      <c r="J83" s="400">
        <f t="shared" si="35"/>
        <v>0</v>
      </c>
      <c r="K83" s="342">
        <v>0</v>
      </c>
      <c r="L83" s="401">
        <f t="shared" si="36"/>
        <v>0</v>
      </c>
    </row>
    <row r="84" spans="1:14" s="343" customFormat="1" ht="14.15" customHeight="1" thickTop="1">
      <c r="A84" s="912"/>
      <c r="B84" s="252"/>
      <c r="C84" s="253" t="s">
        <v>34</v>
      </c>
      <c r="D84" s="402">
        <f>SUM(D79:D83)</f>
        <v>923188</v>
      </c>
      <c r="E84" s="402">
        <f>SUM(E79:E83)</f>
        <v>77546</v>
      </c>
      <c r="F84" s="403">
        <f t="shared" si="33"/>
        <v>8.3998058900245667</v>
      </c>
      <c r="G84" s="402">
        <f>SUM(G79:G83)</f>
        <v>563389</v>
      </c>
      <c r="H84" s="403">
        <f t="shared" si="34"/>
        <v>61.026464815400551</v>
      </c>
      <c r="I84" s="402">
        <f>SUM(I79:I83)</f>
        <v>282253</v>
      </c>
      <c r="J84" s="403">
        <f t="shared" si="35"/>
        <v>30.573729294574886</v>
      </c>
      <c r="K84" s="402">
        <f>SUM(K79:K83)</f>
        <v>771</v>
      </c>
      <c r="L84" s="404">
        <f t="shared" si="36"/>
        <v>8.351495036763909E-2</v>
      </c>
      <c r="M84" s="10"/>
    </row>
    <row r="85" spans="1:14" s="343" customFormat="1" ht="14.15" customHeight="1">
      <c r="A85" s="912"/>
      <c r="B85" s="263"/>
      <c r="C85" s="264"/>
      <c r="D85" s="358"/>
      <c r="E85" s="358"/>
      <c r="F85" s="405"/>
      <c r="G85" s="358"/>
      <c r="H85" s="358"/>
      <c r="I85" s="358"/>
      <c r="J85" s="358"/>
      <c r="K85" s="358"/>
      <c r="L85" s="406"/>
      <c r="M85" s="10"/>
    </row>
    <row r="86" spans="1:14" s="343" customFormat="1" ht="14.15" customHeight="1">
      <c r="A86" s="796" t="s">
        <v>774</v>
      </c>
      <c r="B86" s="351"/>
      <c r="C86" s="309" t="s">
        <v>34</v>
      </c>
      <c r="D86" s="411">
        <f>D12+D17+D30+D40+D48+D51+D60+D66+D77+D84</f>
        <v>20364012</v>
      </c>
      <c r="E86" s="411">
        <f>E12+E17+E30+E40+E48+E51+E60+E66+E77+E84</f>
        <v>2884759</v>
      </c>
      <c r="F86" s="412">
        <f>E86/$D86*100</f>
        <v>14.165965920664355</v>
      </c>
      <c r="G86" s="411">
        <f>G12+G17+G30+G40+G48+G51+G60+G66+G77+G84</f>
        <v>10124912</v>
      </c>
      <c r="H86" s="412">
        <f>G86/$D86*100</f>
        <v>49.719632850344034</v>
      </c>
      <c r="I86" s="411">
        <f>I12+I17+I30+I40+I48+I51+I60+I66+I77+I84</f>
        <v>7354341</v>
      </c>
      <c r="J86" s="412">
        <f>I86/$D86*100</f>
        <v>36.114401228991618</v>
      </c>
      <c r="K86" s="411">
        <f>K12+K17+K30+K40+K48+K51+K60+K66+K77+K84</f>
        <v>98208</v>
      </c>
      <c r="L86" s="413">
        <f>K86/$D86*100</f>
        <v>0.48226253255006918</v>
      </c>
      <c r="M86" s="10"/>
    </row>
    <row r="87" spans="1:14" s="343" customFormat="1" ht="14.15" customHeight="1">
      <c r="F87" s="354"/>
      <c r="H87" s="354"/>
      <c r="I87" s="354"/>
      <c r="J87" s="354"/>
      <c r="K87" s="354"/>
      <c r="L87" s="353"/>
    </row>
    <row r="88" spans="1:14" s="343" customFormat="1" ht="14.15" customHeight="1">
      <c r="D88" s="2112"/>
      <c r="E88" s="2112"/>
      <c r="F88" s="2112"/>
      <c r="G88" s="2112"/>
      <c r="H88" s="2112"/>
      <c r="I88" s="2112"/>
      <c r="J88" s="2112"/>
      <c r="K88" s="2112"/>
      <c r="L88" s="414"/>
    </row>
    <row r="89" spans="1:14" s="343" customFormat="1" ht="14.15" customHeight="1">
      <c r="D89" s="2112"/>
      <c r="E89" s="2112"/>
      <c r="F89" s="2112"/>
      <c r="G89" s="2112"/>
      <c r="H89" s="2112"/>
      <c r="I89" s="2112"/>
      <c r="J89" s="2112"/>
      <c r="K89" s="2112"/>
      <c r="L89" s="2113"/>
    </row>
    <row r="90" spans="1:14" s="343" customFormat="1" ht="14.15" customHeight="1">
      <c r="D90" s="2112"/>
      <c r="E90" s="2112"/>
      <c r="F90" s="2112"/>
      <c r="G90" s="2112"/>
      <c r="H90" s="2112"/>
      <c r="I90" s="2112"/>
      <c r="J90" s="2112"/>
      <c r="K90" s="2112"/>
      <c r="L90" s="2112"/>
    </row>
    <row r="91" spans="1:14" s="343" customFormat="1" ht="14.15" customHeight="1">
      <c r="D91" s="2112"/>
      <c r="E91" s="2112"/>
      <c r="F91" s="2112"/>
      <c r="G91" s="2112"/>
      <c r="H91" s="2112"/>
      <c r="I91" s="2112"/>
      <c r="J91" s="2112"/>
      <c r="K91" s="2112"/>
      <c r="L91" s="2112"/>
    </row>
    <row r="92" spans="1:14" s="343" customFormat="1" ht="14.15" customHeight="1">
      <c r="D92" s="2112"/>
      <c r="E92" s="2112"/>
      <c r="F92" s="2112"/>
      <c r="G92" s="2112"/>
      <c r="H92" s="2112"/>
      <c r="I92" s="2112"/>
      <c r="J92" s="2112"/>
      <c r="K92" s="2112"/>
      <c r="L92" s="2112"/>
    </row>
    <row r="93" spans="1:14" s="343" customFormat="1" ht="14.15" customHeight="1">
      <c r="F93" s="354"/>
      <c r="H93" s="354"/>
      <c r="I93" s="354"/>
      <c r="J93" s="354"/>
      <c r="K93" s="354"/>
      <c r="L93" s="353"/>
    </row>
    <row r="94" spans="1:14" ht="14.15" customHeight="1">
      <c r="I94" s="2114"/>
    </row>
    <row r="95" spans="1:14" ht="14.15" customHeight="1"/>
    <row r="96" spans="1:14" ht="14.15" customHeight="1"/>
    <row r="97" ht="14.15" customHeight="1"/>
    <row r="98" ht="14.15" customHeight="1"/>
    <row r="99" ht="14.15" customHeight="1"/>
    <row r="100" ht="14.15" customHeight="1"/>
    <row r="101" ht="14.15" customHeight="1"/>
    <row r="102" ht="14.15" customHeight="1"/>
    <row r="103" ht="14.15" customHeight="1"/>
    <row r="104" ht="14.15" customHeight="1"/>
    <row r="105" ht="14.15" customHeight="1"/>
    <row r="106" ht="14.15" customHeight="1"/>
    <row r="107" ht="14.15" customHeight="1"/>
    <row r="108" ht="14.15" customHeight="1"/>
    <row r="109" ht="14.15" customHeight="1"/>
    <row r="110" ht="14.15" customHeight="1"/>
    <row r="111" ht="14.15" customHeight="1"/>
    <row r="112" ht="14.15" customHeight="1"/>
    <row r="113" ht="14.15" customHeight="1"/>
    <row r="114" ht="14.15" customHeight="1"/>
    <row r="115" ht="14.15" customHeight="1"/>
    <row r="116" ht="14.15" customHeight="1"/>
    <row r="117" ht="14.15" customHeight="1"/>
    <row r="118" ht="14.15" customHeight="1"/>
    <row r="119" ht="14.15" customHeight="1"/>
    <row r="120" ht="14.15" customHeight="1"/>
    <row r="121" ht="14.15" customHeight="1"/>
    <row r="122" ht="14.15" customHeight="1"/>
    <row r="123" ht="14.15" customHeight="1"/>
    <row r="124" ht="14.15" customHeight="1"/>
    <row r="125" ht="14.15" customHeight="1"/>
    <row r="126" ht="14.15" customHeight="1"/>
    <row r="127" ht="14.15" customHeight="1"/>
    <row r="128" ht="14.15" customHeight="1"/>
    <row r="129" ht="14.15" customHeight="1"/>
    <row r="130" ht="14.15" customHeight="1"/>
    <row r="131" ht="14.15" customHeight="1"/>
    <row r="132" ht="14.15" customHeight="1"/>
    <row r="133" ht="14.15" customHeight="1"/>
    <row r="134" ht="14.15" customHeight="1"/>
    <row r="135" ht="14.15" customHeight="1"/>
    <row r="136" ht="14.15" customHeight="1"/>
    <row r="137" ht="14.15" customHeight="1"/>
    <row r="138" ht="14.15" customHeight="1"/>
    <row r="139" ht="14.15" customHeight="1"/>
    <row r="140" ht="14.15" customHeight="1"/>
    <row r="141" ht="14.15" customHeight="1"/>
    <row r="142" ht="14.15" customHeight="1"/>
    <row r="143" ht="14.15" customHeight="1"/>
    <row r="144" ht="14.15" customHeight="1"/>
    <row r="145" ht="14.15" customHeight="1"/>
    <row r="146" ht="14.15" customHeight="1"/>
    <row r="147" ht="14.15" customHeight="1"/>
    <row r="148" ht="14.15" customHeight="1"/>
    <row r="149" ht="14.15" customHeight="1"/>
    <row r="150" ht="14.15" customHeight="1"/>
    <row r="151" ht="14.15" customHeight="1"/>
    <row r="152" ht="14.15" customHeight="1"/>
    <row r="153" ht="14.15" customHeight="1"/>
    <row r="154" ht="14.15" customHeight="1"/>
    <row r="155" ht="14.15" customHeight="1"/>
    <row r="156" ht="14.15" customHeight="1"/>
    <row r="157" ht="14.15" customHeight="1"/>
    <row r="158" ht="14.15" customHeight="1"/>
    <row r="159" ht="14.15" customHeight="1"/>
    <row r="16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sheetData>
  <mergeCells count="18">
    <mergeCell ref="A42:A49"/>
    <mergeCell ref="A50:A52"/>
    <mergeCell ref="A53:A61"/>
    <mergeCell ref="A62:A67"/>
    <mergeCell ref="A68:A78"/>
    <mergeCell ref="A79:A85"/>
    <mergeCell ref="I3:J3"/>
    <mergeCell ref="K3:L3"/>
    <mergeCell ref="A5:A13"/>
    <mergeCell ref="A14:A18"/>
    <mergeCell ref="A19:A31"/>
    <mergeCell ref="A32:A41"/>
    <mergeCell ref="A3:A4"/>
    <mergeCell ref="B3:B4"/>
    <mergeCell ref="C3:C4"/>
    <mergeCell ref="D3:D4"/>
    <mergeCell ref="E3:F3"/>
    <mergeCell ref="G3:H3"/>
  </mergeCells>
  <phoneticPr fontId="6"/>
  <pageMargins left="0.78740157480314965" right="0.6692913385826772" top="0.59055118110236227" bottom="0.47244094488188981" header="0.51181102362204722" footer="0.39370078740157483"/>
  <pageSetup paperSize="9" scale="92" fitToHeight="0" pageOrder="overThenDown" orientation="portrait" r:id="rId1"/>
  <headerFooter alignWithMargins="0"/>
  <rowBreaks count="1" manualBreakCount="1">
    <brk id="52" max="11"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841A2C-0AEF-4E75-B3B3-247CDCE66782}">
  <dimension ref="A1:AC208"/>
  <sheetViews>
    <sheetView view="pageBreakPreview" zoomScale="80" zoomScaleNormal="100" zoomScaleSheetLayoutView="80" workbookViewId="0">
      <pane xSplit="3" ySplit="7" topLeftCell="D8" activePane="bottomRight" state="frozen"/>
      <selection pane="topRight" activeCell="D1" sqref="D1"/>
      <selection pane="bottomLeft" activeCell="A8" sqref="A8"/>
      <selection pane="bottomRight"/>
    </sheetView>
  </sheetViews>
  <sheetFormatPr defaultRowHeight="11"/>
  <cols>
    <col min="1" max="1" width="5.6328125" style="150" customWidth="1"/>
    <col min="2" max="2" width="3" style="150" customWidth="1"/>
    <col min="3" max="3" width="15.36328125" style="150" customWidth="1"/>
    <col min="4" max="4" width="7.26953125" style="150" bestFit="1" customWidth="1"/>
    <col min="5" max="5" width="6.26953125" style="150" bestFit="1" customWidth="1"/>
    <col min="6" max="6" width="4.7265625" style="179" bestFit="1" customWidth="1"/>
    <col min="7" max="7" width="6.26953125" style="150" bestFit="1" customWidth="1"/>
    <col min="8" max="8" width="4.7265625" style="179" bestFit="1" customWidth="1"/>
    <col min="9" max="9" width="6.26953125" style="150" bestFit="1" customWidth="1"/>
    <col min="10" max="10" width="4.7265625" style="179" bestFit="1" customWidth="1"/>
    <col min="11" max="11" width="6.08984375" style="150" customWidth="1"/>
    <col min="12" max="12" width="6.26953125" style="150" bestFit="1" customWidth="1"/>
    <col min="13" max="13" width="4.7265625" style="179" bestFit="1" customWidth="1"/>
    <col min="14" max="14" width="6.26953125" style="150" bestFit="1" customWidth="1"/>
    <col min="15" max="15" width="4.453125" style="179" customWidth="1"/>
    <col min="16" max="16" width="6.26953125" style="150" bestFit="1" customWidth="1"/>
    <col min="17" max="17" width="4.7265625" style="179" bestFit="1" customWidth="1"/>
    <col min="18" max="18" width="6.26953125" style="150" bestFit="1" customWidth="1"/>
    <col min="19" max="19" width="5.90625" style="179" customWidth="1"/>
    <col min="20" max="20" width="4.6328125" style="150" customWidth="1"/>
    <col min="21" max="21" width="8.7265625" style="179"/>
    <col min="22" max="22" width="4.6328125" style="150" customWidth="1"/>
    <col min="23" max="23" width="8.7265625" style="150"/>
    <col min="24" max="24" width="4.6328125" style="150" customWidth="1"/>
    <col min="25" max="25" width="8.7265625" style="150"/>
    <col min="26" max="26" width="4.6328125" style="150" customWidth="1"/>
    <col min="27" max="27" width="8.7265625" style="150"/>
    <col min="28" max="28" width="4.6328125" style="150" customWidth="1"/>
    <col min="29" max="256" width="8.7265625" style="150"/>
    <col min="257" max="257" width="5.6328125" style="150" customWidth="1"/>
    <col min="258" max="258" width="3" style="150" customWidth="1"/>
    <col min="259" max="259" width="15.36328125" style="150" customWidth="1"/>
    <col min="260" max="260" width="7.26953125" style="150" bestFit="1" customWidth="1"/>
    <col min="261" max="261" width="6.26953125" style="150" bestFit="1" customWidth="1"/>
    <col min="262" max="262" width="4.7265625" style="150" bestFit="1" customWidth="1"/>
    <col min="263" max="263" width="6.26953125" style="150" bestFit="1" customWidth="1"/>
    <col min="264" max="264" width="4.7265625" style="150" bestFit="1" customWidth="1"/>
    <col min="265" max="265" width="6.26953125" style="150" bestFit="1" customWidth="1"/>
    <col min="266" max="266" width="4.7265625" style="150" bestFit="1" customWidth="1"/>
    <col min="267" max="267" width="6.08984375" style="150" customWidth="1"/>
    <col min="268" max="268" width="6.26953125" style="150" bestFit="1" customWidth="1"/>
    <col min="269" max="269" width="4.7265625" style="150" bestFit="1" customWidth="1"/>
    <col min="270" max="270" width="6.26953125" style="150" bestFit="1" customWidth="1"/>
    <col min="271" max="271" width="4.453125" style="150" customWidth="1"/>
    <col min="272" max="272" width="6.26953125" style="150" bestFit="1" customWidth="1"/>
    <col min="273" max="273" width="4.7265625" style="150" bestFit="1" customWidth="1"/>
    <col min="274" max="274" width="6.26953125" style="150" bestFit="1" customWidth="1"/>
    <col min="275" max="275" width="4.7265625" style="150" bestFit="1" customWidth="1"/>
    <col min="276" max="276" width="4.6328125" style="150" customWidth="1"/>
    <col min="277" max="277" width="8.7265625" style="150"/>
    <col min="278" max="278" width="4.6328125" style="150" customWidth="1"/>
    <col min="279" max="279" width="8.7265625" style="150"/>
    <col min="280" max="280" width="4.6328125" style="150" customWidth="1"/>
    <col min="281" max="281" width="8.7265625" style="150"/>
    <col min="282" max="282" width="4.6328125" style="150" customWidth="1"/>
    <col min="283" max="283" width="8.7265625" style="150"/>
    <col min="284" max="284" width="4.6328125" style="150" customWidth="1"/>
    <col min="285" max="512" width="8.7265625" style="150"/>
    <col min="513" max="513" width="5.6328125" style="150" customWidth="1"/>
    <col min="514" max="514" width="3" style="150" customWidth="1"/>
    <col min="515" max="515" width="15.36328125" style="150" customWidth="1"/>
    <col min="516" max="516" width="7.26953125" style="150" bestFit="1" customWidth="1"/>
    <col min="517" max="517" width="6.26953125" style="150" bestFit="1" customWidth="1"/>
    <col min="518" max="518" width="4.7265625" style="150" bestFit="1" customWidth="1"/>
    <col min="519" max="519" width="6.26953125" style="150" bestFit="1" customWidth="1"/>
    <col min="520" max="520" width="4.7265625" style="150" bestFit="1" customWidth="1"/>
    <col min="521" max="521" width="6.26953125" style="150" bestFit="1" customWidth="1"/>
    <col min="522" max="522" width="4.7265625" style="150" bestFit="1" customWidth="1"/>
    <col min="523" max="523" width="6.08984375" style="150" customWidth="1"/>
    <col min="524" max="524" width="6.26953125" style="150" bestFit="1" customWidth="1"/>
    <col min="525" max="525" width="4.7265625" style="150" bestFit="1" customWidth="1"/>
    <col min="526" max="526" width="6.26953125" style="150" bestFit="1" customWidth="1"/>
    <col min="527" max="527" width="4.453125" style="150" customWidth="1"/>
    <col min="528" max="528" width="6.26953125" style="150" bestFit="1" customWidth="1"/>
    <col min="529" max="529" width="4.7265625" style="150" bestFit="1" customWidth="1"/>
    <col min="530" max="530" width="6.26953125" style="150" bestFit="1" customWidth="1"/>
    <col min="531" max="531" width="4.7265625" style="150" bestFit="1" customWidth="1"/>
    <col min="532" max="532" width="4.6328125" style="150" customWidth="1"/>
    <col min="533" max="533" width="8.7265625" style="150"/>
    <col min="534" max="534" width="4.6328125" style="150" customWidth="1"/>
    <col min="535" max="535" width="8.7265625" style="150"/>
    <col min="536" max="536" width="4.6328125" style="150" customWidth="1"/>
    <col min="537" max="537" width="8.7265625" style="150"/>
    <col min="538" max="538" width="4.6328125" style="150" customWidth="1"/>
    <col min="539" max="539" width="8.7265625" style="150"/>
    <col min="540" max="540" width="4.6328125" style="150" customWidth="1"/>
    <col min="541" max="768" width="8.7265625" style="150"/>
    <col min="769" max="769" width="5.6328125" style="150" customWidth="1"/>
    <col min="770" max="770" width="3" style="150" customWidth="1"/>
    <col min="771" max="771" width="15.36328125" style="150" customWidth="1"/>
    <col min="772" max="772" width="7.26953125" style="150" bestFit="1" customWidth="1"/>
    <col min="773" max="773" width="6.26953125" style="150" bestFit="1" customWidth="1"/>
    <col min="774" max="774" width="4.7265625" style="150" bestFit="1" customWidth="1"/>
    <col min="775" max="775" width="6.26953125" style="150" bestFit="1" customWidth="1"/>
    <col min="776" max="776" width="4.7265625" style="150" bestFit="1" customWidth="1"/>
    <col min="777" max="777" width="6.26953125" style="150" bestFit="1" customWidth="1"/>
    <col min="778" max="778" width="4.7265625" style="150" bestFit="1" customWidth="1"/>
    <col min="779" max="779" width="6.08984375" style="150" customWidth="1"/>
    <col min="780" max="780" width="6.26953125" style="150" bestFit="1" customWidth="1"/>
    <col min="781" max="781" width="4.7265625" style="150" bestFit="1" customWidth="1"/>
    <col min="782" max="782" width="6.26953125" style="150" bestFit="1" customWidth="1"/>
    <col min="783" max="783" width="4.453125" style="150" customWidth="1"/>
    <col min="784" max="784" width="6.26953125" style="150" bestFit="1" customWidth="1"/>
    <col min="785" max="785" width="4.7265625" style="150" bestFit="1" customWidth="1"/>
    <col min="786" max="786" width="6.26953125" style="150" bestFit="1" customWidth="1"/>
    <col min="787" max="787" width="4.7265625" style="150" bestFit="1" customWidth="1"/>
    <col min="788" max="788" width="4.6328125" style="150" customWidth="1"/>
    <col min="789" max="789" width="8.7265625" style="150"/>
    <col min="790" max="790" width="4.6328125" style="150" customWidth="1"/>
    <col min="791" max="791" width="8.7265625" style="150"/>
    <col min="792" max="792" width="4.6328125" style="150" customWidth="1"/>
    <col min="793" max="793" width="8.7265625" style="150"/>
    <col min="794" max="794" width="4.6328125" style="150" customWidth="1"/>
    <col min="795" max="795" width="8.7265625" style="150"/>
    <col min="796" max="796" width="4.6328125" style="150" customWidth="1"/>
    <col min="797" max="1024" width="8.7265625" style="150"/>
    <col min="1025" max="1025" width="5.6328125" style="150" customWidth="1"/>
    <col min="1026" max="1026" width="3" style="150" customWidth="1"/>
    <col min="1027" max="1027" width="15.36328125" style="150" customWidth="1"/>
    <col min="1028" max="1028" width="7.26953125" style="150" bestFit="1" customWidth="1"/>
    <col min="1029" max="1029" width="6.26953125" style="150" bestFit="1" customWidth="1"/>
    <col min="1030" max="1030" width="4.7265625" style="150" bestFit="1" customWidth="1"/>
    <col min="1031" max="1031" width="6.26953125" style="150" bestFit="1" customWidth="1"/>
    <col min="1032" max="1032" width="4.7265625" style="150" bestFit="1" customWidth="1"/>
    <col min="1033" max="1033" width="6.26953125" style="150" bestFit="1" customWidth="1"/>
    <col min="1034" max="1034" width="4.7265625" style="150" bestFit="1" customWidth="1"/>
    <col min="1035" max="1035" width="6.08984375" style="150" customWidth="1"/>
    <col min="1036" max="1036" width="6.26953125" style="150" bestFit="1" customWidth="1"/>
    <col min="1037" max="1037" width="4.7265625" style="150" bestFit="1" customWidth="1"/>
    <col min="1038" max="1038" width="6.26953125" style="150" bestFit="1" customWidth="1"/>
    <col min="1039" max="1039" width="4.453125" style="150" customWidth="1"/>
    <col min="1040" max="1040" width="6.26953125" style="150" bestFit="1" customWidth="1"/>
    <col min="1041" max="1041" width="4.7265625" style="150" bestFit="1" customWidth="1"/>
    <col min="1042" max="1042" width="6.26953125" style="150" bestFit="1" customWidth="1"/>
    <col min="1043" max="1043" width="4.7265625" style="150" bestFit="1" customWidth="1"/>
    <col min="1044" max="1044" width="4.6328125" style="150" customWidth="1"/>
    <col min="1045" max="1045" width="8.7265625" style="150"/>
    <col min="1046" max="1046" width="4.6328125" style="150" customWidth="1"/>
    <col min="1047" max="1047" width="8.7265625" style="150"/>
    <col min="1048" max="1048" width="4.6328125" style="150" customWidth="1"/>
    <col min="1049" max="1049" width="8.7265625" style="150"/>
    <col min="1050" max="1050" width="4.6328125" style="150" customWidth="1"/>
    <col min="1051" max="1051" width="8.7265625" style="150"/>
    <col min="1052" max="1052" width="4.6328125" style="150" customWidth="1"/>
    <col min="1053" max="1280" width="8.7265625" style="150"/>
    <col min="1281" max="1281" width="5.6328125" style="150" customWidth="1"/>
    <col min="1282" max="1282" width="3" style="150" customWidth="1"/>
    <col min="1283" max="1283" width="15.36328125" style="150" customWidth="1"/>
    <col min="1284" max="1284" width="7.26953125" style="150" bestFit="1" customWidth="1"/>
    <col min="1285" max="1285" width="6.26953125" style="150" bestFit="1" customWidth="1"/>
    <col min="1286" max="1286" width="4.7265625" style="150" bestFit="1" customWidth="1"/>
    <col min="1287" max="1287" width="6.26953125" style="150" bestFit="1" customWidth="1"/>
    <col min="1288" max="1288" width="4.7265625" style="150" bestFit="1" customWidth="1"/>
    <col min="1289" max="1289" width="6.26953125" style="150" bestFit="1" customWidth="1"/>
    <col min="1290" max="1290" width="4.7265625" style="150" bestFit="1" customWidth="1"/>
    <col min="1291" max="1291" width="6.08984375" style="150" customWidth="1"/>
    <col min="1292" max="1292" width="6.26953125" style="150" bestFit="1" customWidth="1"/>
    <col min="1293" max="1293" width="4.7265625" style="150" bestFit="1" customWidth="1"/>
    <col min="1294" max="1294" width="6.26953125" style="150" bestFit="1" customWidth="1"/>
    <col min="1295" max="1295" width="4.453125" style="150" customWidth="1"/>
    <col min="1296" max="1296" width="6.26953125" style="150" bestFit="1" customWidth="1"/>
    <col min="1297" max="1297" width="4.7265625" style="150" bestFit="1" customWidth="1"/>
    <col min="1298" max="1298" width="6.26953125" style="150" bestFit="1" customWidth="1"/>
    <col min="1299" max="1299" width="4.7265625" style="150" bestFit="1" customWidth="1"/>
    <col min="1300" max="1300" width="4.6328125" style="150" customWidth="1"/>
    <col min="1301" max="1301" width="8.7265625" style="150"/>
    <col min="1302" max="1302" width="4.6328125" style="150" customWidth="1"/>
    <col min="1303" max="1303" width="8.7265625" style="150"/>
    <col min="1304" max="1304" width="4.6328125" style="150" customWidth="1"/>
    <col min="1305" max="1305" width="8.7265625" style="150"/>
    <col min="1306" max="1306" width="4.6328125" style="150" customWidth="1"/>
    <col min="1307" max="1307" width="8.7265625" style="150"/>
    <col min="1308" max="1308" width="4.6328125" style="150" customWidth="1"/>
    <col min="1309" max="1536" width="8.7265625" style="150"/>
    <col min="1537" max="1537" width="5.6328125" style="150" customWidth="1"/>
    <col min="1538" max="1538" width="3" style="150" customWidth="1"/>
    <col min="1539" max="1539" width="15.36328125" style="150" customWidth="1"/>
    <col min="1540" max="1540" width="7.26953125" style="150" bestFit="1" customWidth="1"/>
    <col min="1541" max="1541" width="6.26953125" style="150" bestFit="1" customWidth="1"/>
    <col min="1542" max="1542" width="4.7265625" style="150" bestFit="1" customWidth="1"/>
    <col min="1543" max="1543" width="6.26953125" style="150" bestFit="1" customWidth="1"/>
    <col min="1544" max="1544" width="4.7265625" style="150" bestFit="1" customWidth="1"/>
    <col min="1545" max="1545" width="6.26953125" style="150" bestFit="1" customWidth="1"/>
    <col min="1546" max="1546" width="4.7265625" style="150" bestFit="1" customWidth="1"/>
    <col min="1547" max="1547" width="6.08984375" style="150" customWidth="1"/>
    <col min="1548" max="1548" width="6.26953125" style="150" bestFit="1" customWidth="1"/>
    <col min="1549" max="1549" width="4.7265625" style="150" bestFit="1" customWidth="1"/>
    <col min="1550" max="1550" width="6.26953125" style="150" bestFit="1" customWidth="1"/>
    <col min="1551" max="1551" width="4.453125" style="150" customWidth="1"/>
    <col min="1552" max="1552" width="6.26953125" style="150" bestFit="1" customWidth="1"/>
    <col min="1553" max="1553" width="4.7265625" style="150" bestFit="1" customWidth="1"/>
    <col min="1554" max="1554" width="6.26953125" style="150" bestFit="1" customWidth="1"/>
    <col min="1555" max="1555" width="4.7265625" style="150" bestFit="1" customWidth="1"/>
    <col min="1556" max="1556" width="4.6328125" style="150" customWidth="1"/>
    <col min="1557" max="1557" width="8.7265625" style="150"/>
    <col min="1558" max="1558" width="4.6328125" style="150" customWidth="1"/>
    <col min="1559" max="1559" width="8.7265625" style="150"/>
    <col min="1560" max="1560" width="4.6328125" style="150" customWidth="1"/>
    <col min="1561" max="1561" width="8.7265625" style="150"/>
    <col min="1562" max="1562" width="4.6328125" style="150" customWidth="1"/>
    <col min="1563" max="1563" width="8.7265625" style="150"/>
    <col min="1564" max="1564" width="4.6328125" style="150" customWidth="1"/>
    <col min="1565" max="1792" width="8.7265625" style="150"/>
    <col min="1793" max="1793" width="5.6328125" style="150" customWidth="1"/>
    <col min="1794" max="1794" width="3" style="150" customWidth="1"/>
    <col min="1795" max="1795" width="15.36328125" style="150" customWidth="1"/>
    <col min="1796" max="1796" width="7.26953125" style="150" bestFit="1" customWidth="1"/>
    <col min="1797" max="1797" width="6.26953125" style="150" bestFit="1" customWidth="1"/>
    <col min="1798" max="1798" width="4.7265625" style="150" bestFit="1" customWidth="1"/>
    <col min="1799" max="1799" width="6.26953125" style="150" bestFit="1" customWidth="1"/>
    <col min="1800" max="1800" width="4.7265625" style="150" bestFit="1" customWidth="1"/>
    <col min="1801" max="1801" width="6.26953125" style="150" bestFit="1" customWidth="1"/>
    <col min="1802" max="1802" width="4.7265625" style="150" bestFit="1" customWidth="1"/>
    <col min="1803" max="1803" width="6.08984375" style="150" customWidth="1"/>
    <col min="1804" max="1804" width="6.26953125" style="150" bestFit="1" customWidth="1"/>
    <col min="1805" max="1805" width="4.7265625" style="150" bestFit="1" customWidth="1"/>
    <col min="1806" max="1806" width="6.26953125" style="150" bestFit="1" customWidth="1"/>
    <col min="1807" max="1807" width="4.453125" style="150" customWidth="1"/>
    <col min="1808" max="1808" width="6.26953125" style="150" bestFit="1" customWidth="1"/>
    <col min="1809" max="1809" width="4.7265625" style="150" bestFit="1" customWidth="1"/>
    <col min="1810" max="1810" width="6.26953125" style="150" bestFit="1" customWidth="1"/>
    <col min="1811" max="1811" width="4.7265625" style="150" bestFit="1" customWidth="1"/>
    <col min="1812" max="1812" width="4.6328125" style="150" customWidth="1"/>
    <col min="1813" max="1813" width="8.7265625" style="150"/>
    <col min="1814" max="1814" width="4.6328125" style="150" customWidth="1"/>
    <col min="1815" max="1815" width="8.7265625" style="150"/>
    <col min="1816" max="1816" width="4.6328125" style="150" customWidth="1"/>
    <col min="1817" max="1817" width="8.7265625" style="150"/>
    <col min="1818" max="1818" width="4.6328125" style="150" customWidth="1"/>
    <col min="1819" max="1819" width="8.7265625" style="150"/>
    <col min="1820" max="1820" width="4.6328125" style="150" customWidth="1"/>
    <col min="1821" max="2048" width="8.7265625" style="150"/>
    <col min="2049" max="2049" width="5.6328125" style="150" customWidth="1"/>
    <col min="2050" max="2050" width="3" style="150" customWidth="1"/>
    <col min="2051" max="2051" width="15.36328125" style="150" customWidth="1"/>
    <col min="2052" max="2052" width="7.26953125" style="150" bestFit="1" customWidth="1"/>
    <col min="2053" max="2053" width="6.26953125" style="150" bestFit="1" customWidth="1"/>
    <col min="2054" max="2054" width="4.7265625" style="150" bestFit="1" customWidth="1"/>
    <col min="2055" max="2055" width="6.26953125" style="150" bestFit="1" customWidth="1"/>
    <col min="2056" max="2056" width="4.7265625" style="150" bestFit="1" customWidth="1"/>
    <col min="2057" max="2057" width="6.26953125" style="150" bestFit="1" customWidth="1"/>
    <col min="2058" max="2058" width="4.7265625" style="150" bestFit="1" customWidth="1"/>
    <col min="2059" max="2059" width="6.08984375" style="150" customWidth="1"/>
    <col min="2060" max="2060" width="6.26953125" style="150" bestFit="1" customWidth="1"/>
    <col min="2061" max="2061" width="4.7265625" style="150" bestFit="1" customWidth="1"/>
    <col min="2062" max="2062" width="6.26953125" style="150" bestFit="1" customWidth="1"/>
    <col min="2063" max="2063" width="4.453125" style="150" customWidth="1"/>
    <col min="2064" max="2064" width="6.26953125" style="150" bestFit="1" customWidth="1"/>
    <col min="2065" max="2065" width="4.7265625" style="150" bestFit="1" customWidth="1"/>
    <col min="2066" max="2066" width="6.26953125" style="150" bestFit="1" customWidth="1"/>
    <col min="2067" max="2067" width="4.7265625" style="150" bestFit="1" customWidth="1"/>
    <col min="2068" max="2068" width="4.6328125" style="150" customWidth="1"/>
    <col min="2069" max="2069" width="8.7265625" style="150"/>
    <col min="2070" max="2070" width="4.6328125" style="150" customWidth="1"/>
    <col min="2071" max="2071" width="8.7265625" style="150"/>
    <col min="2072" max="2072" width="4.6328125" style="150" customWidth="1"/>
    <col min="2073" max="2073" width="8.7265625" style="150"/>
    <col min="2074" max="2074" width="4.6328125" style="150" customWidth="1"/>
    <col min="2075" max="2075" width="8.7265625" style="150"/>
    <col min="2076" max="2076" width="4.6328125" style="150" customWidth="1"/>
    <col min="2077" max="2304" width="8.7265625" style="150"/>
    <col min="2305" max="2305" width="5.6328125" style="150" customWidth="1"/>
    <col min="2306" max="2306" width="3" style="150" customWidth="1"/>
    <col min="2307" max="2307" width="15.36328125" style="150" customWidth="1"/>
    <col min="2308" max="2308" width="7.26953125" style="150" bestFit="1" customWidth="1"/>
    <col min="2309" max="2309" width="6.26953125" style="150" bestFit="1" customWidth="1"/>
    <col min="2310" max="2310" width="4.7265625" style="150" bestFit="1" customWidth="1"/>
    <col min="2311" max="2311" width="6.26953125" style="150" bestFit="1" customWidth="1"/>
    <col min="2312" max="2312" width="4.7265625" style="150" bestFit="1" customWidth="1"/>
    <col min="2313" max="2313" width="6.26953125" style="150" bestFit="1" customWidth="1"/>
    <col min="2314" max="2314" width="4.7265625" style="150" bestFit="1" customWidth="1"/>
    <col min="2315" max="2315" width="6.08984375" style="150" customWidth="1"/>
    <col min="2316" max="2316" width="6.26953125" style="150" bestFit="1" customWidth="1"/>
    <col min="2317" max="2317" width="4.7265625" style="150" bestFit="1" customWidth="1"/>
    <col min="2318" max="2318" width="6.26953125" style="150" bestFit="1" customWidth="1"/>
    <col min="2319" max="2319" width="4.453125" style="150" customWidth="1"/>
    <col min="2320" max="2320" width="6.26953125" style="150" bestFit="1" customWidth="1"/>
    <col min="2321" max="2321" width="4.7265625" style="150" bestFit="1" customWidth="1"/>
    <col min="2322" max="2322" width="6.26953125" style="150" bestFit="1" customWidth="1"/>
    <col min="2323" max="2323" width="4.7265625" style="150" bestFit="1" customWidth="1"/>
    <col min="2324" max="2324" width="4.6328125" style="150" customWidth="1"/>
    <col min="2325" max="2325" width="8.7265625" style="150"/>
    <col min="2326" max="2326" width="4.6328125" style="150" customWidth="1"/>
    <col min="2327" max="2327" width="8.7265625" style="150"/>
    <col min="2328" max="2328" width="4.6328125" style="150" customWidth="1"/>
    <col min="2329" max="2329" width="8.7265625" style="150"/>
    <col min="2330" max="2330" width="4.6328125" style="150" customWidth="1"/>
    <col min="2331" max="2331" width="8.7265625" style="150"/>
    <col min="2332" max="2332" width="4.6328125" style="150" customWidth="1"/>
    <col min="2333" max="2560" width="8.7265625" style="150"/>
    <col min="2561" max="2561" width="5.6328125" style="150" customWidth="1"/>
    <col min="2562" max="2562" width="3" style="150" customWidth="1"/>
    <col min="2563" max="2563" width="15.36328125" style="150" customWidth="1"/>
    <col min="2564" max="2564" width="7.26953125" style="150" bestFit="1" customWidth="1"/>
    <col min="2565" max="2565" width="6.26953125" style="150" bestFit="1" customWidth="1"/>
    <col min="2566" max="2566" width="4.7265625" style="150" bestFit="1" customWidth="1"/>
    <col min="2567" max="2567" width="6.26953125" style="150" bestFit="1" customWidth="1"/>
    <col min="2568" max="2568" width="4.7265625" style="150" bestFit="1" customWidth="1"/>
    <col min="2569" max="2569" width="6.26953125" style="150" bestFit="1" customWidth="1"/>
    <col min="2570" max="2570" width="4.7265625" style="150" bestFit="1" customWidth="1"/>
    <col min="2571" max="2571" width="6.08984375" style="150" customWidth="1"/>
    <col min="2572" max="2572" width="6.26953125" style="150" bestFit="1" customWidth="1"/>
    <col min="2573" max="2573" width="4.7265625" style="150" bestFit="1" customWidth="1"/>
    <col min="2574" max="2574" width="6.26953125" style="150" bestFit="1" customWidth="1"/>
    <col min="2575" max="2575" width="4.453125" style="150" customWidth="1"/>
    <col min="2576" max="2576" width="6.26953125" style="150" bestFit="1" customWidth="1"/>
    <col min="2577" max="2577" width="4.7265625" style="150" bestFit="1" customWidth="1"/>
    <col min="2578" max="2578" width="6.26953125" style="150" bestFit="1" customWidth="1"/>
    <col min="2579" max="2579" width="4.7265625" style="150" bestFit="1" customWidth="1"/>
    <col min="2580" max="2580" width="4.6328125" style="150" customWidth="1"/>
    <col min="2581" max="2581" width="8.7265625" style="150"/>
    <col min="2582" max="2582" width="4.6328125" style="150" customWidth="1"/>
    <col min="2583" max="2583" width="8.7265625" style="150"/>
    <col min="2584" max="2584" width="4.6328125" style="150" customWidth="1"/>
    <col min="2585" max="2585" width="8.7265625" style="150"/>
    <col min="2586" max="2586" width="4.6328125" style="150" customWidth="1"/>
    <col min="2587" max="2587" width="8.7265625" style="150"/>
    <col min="2588" max="2588" width="4.6328125" style="150" customWidth="1"/>
    <col min="2589" max="2816" width="8.7265625" style="150"/>
    <col min="2817" max="2817" width="5.6328125" style="150" customWidth="1"/>
    <col min="2818" max="2818" width="3" style="150" customWidth="1"/>
    <col min="2819" max="2819" width="15.36328125" style="150" customWidth="1"/>
    <col min="2820" max="2820" width="7.26953125" style="150" bestFit="1" customWidth="1"/>
    <col min="2821" max="2821" width="6.26953125" style="150" bestFit="1" customWidth="1"/>
    <col min="2822" max="2822" width="4.7265625" style="150" bestFit="1" customWidth="1"/>
    <col min="2823" max="2823" width="6.26953125" style="150" bestFit="1" customWidth="1"/>
    <col min="2824" max="2824" width="4.7265625" style="150" bestFit="1" customWidth="1"/>
    <col min="2825" max="2825" width="6.26953125" style="150" bestFit="1" customWidth="1"/>
    <col min="2826" max="2826" width="4.7265625" style="150" bestFit="1" customWidth="1"/>
    <col min="2827" max="2827" width="6.08984375" style="150" customWidth="1"/>
    <col min="2828" max="2828" width="6.26953125" style="150" bestFit="1" customWidth="1"/>
    <col min="2829" max="2829" width="4.7265625" style="150" bestFit="1" customWidth="1"/>
    <col min="2830" max="2830" width="6.26953125" style="150" bestFit="1" customWidth="1"/>
    <col min="2831" max="2831" width="4.453125" style="150" customWidth="1"/>
    <col min="2832" max="2832" width="6.26953125" style="150" bestFit="1" customWidth="1"/>
    <col min="2833" max="2833" width="4.7265625" style="150" bestFit="1" customWidth="1"/>
    <col min="2834" max="2834" width="6.26953125" style="150" bestFit="1" customWidth="1"/>
    <col min="2835" max="2835" width="4.7265625" style="150" bestFit="1" customWidth="1"/>
    <col min="2836" max="2836" width="4.6328125" style="150" customWidth="1"/>
    <col min="2837" max="2837" width="8.7265625" style="150"/>
    <col min="2838" max="2838" width="4.6328125" style="150" customWidth="1"/>
    <col min="2839" max="2839" width="8.7265625" style="150"/>
    <col min="2840" max="2840" width="4.6328125" style="150" customWidth="1"/>
    <col min="2841" max="2841" width="8.7265625" style="150"/>
    <col min="2842" max="2842" width="4.6328125" style="150" customWidth="1"/>
    <col min="2843" max="2843" width="8.7265625" style="150"/>
    <col min="2844" max="2844" width="4.6328125" style="150" customWidth="1"/>
    <col min="2845" max="3072" width="8.7265625" style="150"/>
    <col min="3073" max="3073" width="5.6328125" style="150" customWidth="1"/>
    <col min="3074" max="3074" width="3" style="150" customWidth="1"/>
    <col min="3075" max="3075" width="15.36328125" style="150" customWidth="1"/>
    <col min="3076" max="3076" width="7.26953125" style="150" bestFit="1" customWidth="1"/>
    <col min="3077" max="3077" width="6.26953125" style="150" bestFit="1" customWidth="1"/>
    <col min="3078" max="3078" width="4.7265625" style="150" bestFit="1" customWidth="1"/>
    <col min="3079" max="3079" width="6.26953125" style="150" bestFit="1" customWidth="1"/>
    <col min="3080" max="3080" width="4.7265625" style="150" bestFit="1" customWidth="1"/>
    <col min="3081" max="3081" width="6.26953125" style="150" bestFit="1" customWidth="1"/>
    <col min="3082" max="3082" width="4.7265625" style="150" bestFit="1" customWidth="1"/>
    <col min="3083" max="3083" width="6.08984375" style="150" customWidth="1"/>
    <col min="3084" max="3084" width="6.26953125" style="150" bestFit="1" customWidth="1"/>
    <col min="3085" max="3085" width="4.7265625" style="150" bestFit="1" customWidth="1"/>
    <col min="3086" max="3086" width="6.26953125" style="150" bestFit="1" customWidth="1"/>
    <col min="3087" max="3087" width="4.453125" style="150" customWidth="1"/>
    <col min="3088" max="3088" width="6.26953125" style="150" bestFit="1" customWidth="1"/>
    <col min="3089" max="3089" width="4.7265625" style="150" bestFit="1" customWidth="1"/>
    <col min="3090" max="3090" width="6.26953125" style="150" bestFit="1" customWidth="1"/>
    <col min="3091" max="3091" width="4.7265625" style="150" bestFit="1" customWidth="1"/>
    <col min="3092" max="3092" width="4.6328125" style="150" customWidth="1"/>
    <col min="3093" max="3093" width="8.7265625" style="150"/>
    <col min="3094" max="3094" width="4.6328125" style="150" customWidth="1"/>
    <col min="3095" max="3095" width="8.7265625" style="150"/>
    <col min="3096" max="3096" width="4.6328125" style="150" customWidth="1"/>
    <col min="3097" max="3097" width="8.7265625" style="150"/>
    <col min="3098" max="3098" width="4.6328125" style="150" customWidth="1"/>
    <col min="3099" max="3099" width="8.7265625" style="150"/>
    <col min="3100" max="3100" width="4.6328125" style="150" customWidth="1"/>
    <col min="3101" max="3328" width="8.7265625" style="150"/>
    <col min="3329" max="3329" width="5.6328125" style="150" customWidth="1"/>
    <col min="3330" max="3330" width="3" style="150" customWidth="1"/>
    <col min="3331" max="3331" width="15.36328125" style="150" customWidth="1"/>
    <col min="3332" max="3332" width="7.26953125" style="150" bestFit="1" customWidth="1"/>
    <col min="3333" max="3333" width="6.26953125" style="150" bestFit="1" customWidth="1"/>
    <col min="3334" max="3334" width="4.7265625" style="150" bestFit="1" customWidth="1"/>
    <col min="3335" max="3335" width="6.26953125" style="150" bestFit="1" customWidth="1"/>
    <col min="3336" max="3336" width="4.7265625" style="150" bestFit="1" customWidth="1"/>
    <col min="3337" max="3337" width="6.26953125" style="150" bestFit="1" customWidth="1"/>
    <col min="3338" max="3338" width="4.7265625" style="150" bestFit="1" customWidth="1"/>
    <col min="3339" max="3339" width="6.08984375" style="150" customWidth="1"/>
    <col min="3340" max="3340" width="6.26953125" style="150" bestFit="1" customWidth="1"/>
    <col min="3341" max="3341" width="4.7265625" style="150" bestFit="1" customWidth="1"/>
    <col min="3342" max="3342" width="6.26953125" style="150" bestFit="1" customWidth="1"/>
    <col min="3343" max="3343" width="4.453125" style="150" customWidth="1"/>
    <col min="3344" max="3344" width="6.26953125" style="150" bestFit="1" customWidth="1"/>
    <col min="3345" max="3345" width="4.7265625" style="150" bestFit="1" customWidth="1"/>
    <col min="3346" max="3346" width="6.26953125" style="150" bestFit="1" customWidth="1"/>
    <col min="3347" max="3347" width="4.7265625" style="150" bestFit="1" customWidth="1"/>
    <col min="3348" max="3348" width="4.6328125" style="150" customWidth="1"/>
    <col min="3349" max="3349" width="8.7265625" style="150"/>
    <col min="3350" max="3350" width="4.6328125" style="150" customWidth="1"/>
    <col min="3351" max="3351" width="8.7265625" style="150"/>
    <col min="3352" max="3352" width="4.6328125" style="150" customWidth="1"/>
    <col min="3353" max="3353" width="8.7265625" style="150"/>
    <col min="3354" max="3354" width="4.6328125" style="150" customWidth="1"/>
    <col min="3355" max="3355" width="8.7265625" style="150"/>
    <col min="3356" max="3356" width="4.6328125" style="150" customWidth="1"/>
    <col min="3357" max="3584" width="8.7265625" style="150"/>
    <col min="3585" max="3585" width="5.6328125" style="150" customWidth="1"/>
    <col min="3586" max="3586" width="3" style="150" customWidth="1"/>
    <col min="3587" max="3587" width="15.36328125" style="150" customWidth="1"/>
    <col min="3588" max="3588" width="7.26953125" style="150" bestFit="1" customWidth="1"/>
    <col min="3589" max="3589" width="6.26953125" style="150" bestFit="1" customWidth="1"/>
    <col min="3590" max="3590" width="4.7265625" style="150" bestFit="1" customWidth="1"/>
    <col min="3591" max="3591" width="6.26953125" style="150" bestFit="1" customWidth="1"/>
    <col min="3592" max="3592" width="4.7265625" style="150" bestFit="1" customWidth="1"/>
    <col min="3593" max="3593" width="6.26953125" style="150" bestFit="1" customWidth="1"/>
    <col min="3594" max="3594" width="4.7265625" style="150" bestFit="1" customWidth="1"/>
    <col min="3595" max="3595" width="6.08984375" style="150" customWidth="1"/>
    <col min="3596" max="3596" width="6.26953125" style="150" bestFit="1" customWidth="1"/>
    <col min="3597" max="3597" width="4.7265625" style="150" bestFit="1" customWidth="1"/>
    <col min="3598" max="3598" width="6.26953125" style="150" bestFit="1" customWidth="1"/>
    <col min="3599" max="3599" width="4.453125" style="150" customWidth="1"/>
    <col min="3600" max="3600" width="6.26953125" style="150" bestFit="1" customWidth="1"/>
    <col min="3601" max="3601" width="4.7265625" style="150" bestFit="1" customWidth="1"/>
    <col min="3602" max="3602" width="6.26953125" style="150" bestFit="1" customWidth="1"/>
    <col min="3603" max="3603" width="4.7265625" style="150" bestFit="1" customWidth="1"/>
    <col min="3604" max="3604" width="4.6328125" style="150" customWidth="1"/>
    <col min="3605" max="3605" width="8.7265625" style="150"/>
    <col min="3606" max="3606" width="4.6328125" style="150" customWidth="1"/>
    <col min="3607" max="3607" width="8.7265625" style="150"/>
    <col min="3608" max="3608" width="4.6328125" style="150" customWidth="1"/>
    <col min="3609" max="3609" width="8.7265625" style="150"/>
    <col min="3610" max="3610" width="4.6328125" style="150" customWidth="1"/>
    <col min="3611" max="3611" width="8.7265625" style="150"/>
    <col min="3612" max="3612" width="4.6328125" style="150" customWidth="1"/>
    <col min="3613" max="3840" width="8.7265625" style="150"/>
    <col min="3841" max="3841" width="5.6328125" style="150" customWidth="1"/>
    <col min="3842" max="3842" width="3" style="150" customWidth="1"/>
    <col min="3843" max="3843" width="15.36328125" style="150" customWidth="1"/>
    <col min="3844" max="3844" width="7.26953125" style="150" bestFit="1" customWidth="1"/>
    <col min="3845" max="3845" width="6.26953125" style="150" bestFit="1" customWidth="1"/>
    <col min="3846" max="3846" width="4.7265625" style="150" bestFit="1" customWidth="1"/>
    <col min="3847" max="3847" width="6.26953125" style="150" bestFit="1" customWidth="1"/>
    <col min="3848" max="3848" width="4.7265625" style="150" bestFit="1" customWidth="1"/>
    <col min="3849" max="3849" width="6.26953125" style="150" bestFit="1" customWidth="1"/>
    <col min="3850" max="3850" width="4.7265625" style="150" bestFit="1" customWidth="1"/>
    <col min="3851" max="3851" width="6.08984375" style="150" customWidth="1"/>
    <col min="3852" max="3852" width="6.26953125" style="150" bestFit="1" customWidth="1"/>
    <col min="3853" max="3853" width="4.7265625" style="150" bestFit="1" customWidth="1"/>
    <col min="3854" max="3854" width="6.26953125" style="150" bestFit="1" customWidth="1"/>
    <col min="3855" max="3855" width="4.453125" style="150" customWidth="1"/>
    <col min="3856" max="3856" width="6.26953125" style="150" bestFit="1" customWidth="1"/>
    <col min="3857" max="3857" width="4.7265625" style="150" bestFit="1" customWidth="1"/>
    <col min="3858" max="3858" width="6.26953125" style="150" bestFit="1" customWidth="1"/>
    <col min="3859" max="3859" width="4.7265625" style="150" bestFit="1" customWidth="1"/>
    <col min="3860" max="3860" width="4.6328125" style="150" customWidth="1"/>
    <col min="3861" max="3861" width="8.7265625" style="150"/>
    <col min="3862" max="3862" width="4.6328125" style="150" customWidth="1"/>
    <col min="3863" max="3863" width="8.7265625" style="150"/>
    <col min="3864" max="3864" width="4.6328125" style="150" customWidth="1"/>
    <col min="3865" max="3865" width="8.7265625" style="150"/>
    <col min="3866" max="3866" width="4.6328125" style="150" customWidth="1"/>
    <col min="3867" max="3867" width="8.7265625" style="150"/>
    <col min="3868" max="3868" width="4.6328125" style="150" customWidth="1"/>
    <col min="3869" max="4096" width="8.7265625" style="150"/>
    <col min="4097" max="4097" width="5.6328125" style="150" customWidth="1"/>
    <col min="4098" max="4098" width="3" style="150" customWidth="1"/>
    <col min="4099" max="4099" width="15.36328125" style="150" customWidth="1"/>
    <col min="4100" max="4100" width="7.26953125" style="150" bestFit="1" customWidth="1"/>
    <col min="4101" max="4101" width="6.26953125" style="150" bestFit="1" customWidth="1"/>
    <col min="4102" max="4102" width="4.7265625" style="150" bestFit="1" customWidth="1"/>
    <col min="4103" max="4103" width="6.26953125" style="150" bestFit="1" customWidth="1"/>
    <col min="4104" max="4104" width="4.7265625" style="150" bestFit="1" customWidth="1"/>
    <col min="4105" max="4105" width="6.26953125" style="150" bestFit="1" customWidth="1"/>
    <col min="4106" max="4106" width="4.7265625" style="150" bestFit="1" customWidth="1"/>
    <col min="4107" max="4107" width="6.08984375" style="150" customWidth="1"/>
    <col min="4108" max="4108" width="6.26953125" style="150" bestFit="1" customWidth="1"/>
    <col min="4109" max="4109" width="4.7265625" style="150" bestFit="1" customWidth="1"/>
    <col min="4110" max="4110" width="6.26953125" style="150" bestFit="1" customWidth="1"/>
    <col min="4111" max="4111" width="4.453125" style="150" customWidth="1"/>
    <col min="4112" max="4112" width="6.26953125" style="150" bestFit="1" customWidth="1"/>
    <col min="4113" max="4113" width="4.7265625" style="150" bestFit="1" customWidth="1"/>
    <col min="4114" max="4114" width="6.26953125" style="150" bestFit="1" customWidth="1"/>
    <col min="4115" max="4115" width="4.7265625" style="150" bestFit="1" customWidth="1"/>
    <col min="4116" max="4116" width="4.6328125" style="150" customWidth="1"/>
    <col min="4117" max="4117" width="8.7265625" style="150"/>
    <col min="4118" max="4118" width="4.6328125" style="150" customWidth="1"/>
    <col min="4119" max="4119" width="8.7265625" style="150"/>
    <col min="4120" max="4120" width="4.6328125" style="150" customWidth="1"/>
    <col min="4121" max="4121" width="8.7265625" style="150"/>
    <col min="4122" max="4122" width="4.6328125" style="150" customWidth="1"/>
    <col min="4123" max="4123" width="8.7265625" style="150"/>
    <col min="4124" max="4124" width="4.6328125" style="150" customWidth="1"/>
    <col min="4125" max="4352" width="8.7265625" style="150"/>
    <col min="4353" max="4353" width="5.6328125" style="150" customWidth="1"/>
    <col min="4354" max="4354" width="3" style="150" customWidth="1"/>
    <col min="4355" max="4355" width="15.36328125" style="150" customWidth="1"/>
    <col min="4356" max="4356" width="7.26953125" style="150" bestFit="1" customWidth="1"/>
    <col min="4357" max="4357" width="6.26953125" style="150" bestFit="1" customWidth="1"/>
    <col min="4358" max="4358" width="4.7265625" style="150" bestFit="1" customWidth="1"/>
    <col min="4359" max="4359" width="6.26953125" style="150" bestFit="1" customWidth="1"/>
    <col min="4360" max="4360" width="4.7265625" style="150" bestFit="1" customWidth="1"/>
    <col min="4361" max="4361" width="6.26953125" style="150" bestFit="1" customWidth="1"/>
    <col min="4362" max="4362" width="4.7265625" style="150" bestFit="1" customWidth="1"/>
    <col min="4363" max="4363" width="6.08984375" style="150" customWidth="1"/>
    <col min="4364" max="4364" width="6.26953125" style="150" bestFit="1" customWidth="1"/>
    <col min="4365" max="4365" width="4.7265625" style="150" bestFit="1" customWidth="1"/>
    <col min="4366" max="4366" width="6.26953125" style="150" bestFit="1" customWidth="1"/>
    <col min="4367" max="4367" width="4.453125" style="150" customWidth="1"/>
    <col min="4368" max="4368" width="6.26953125" style="150" bestFit="1" customWidth="1"/>
    <col min="4369" max="4369" width="4.7265625" style="150" bestFit="1" customWidth="1"/>
    <col min="4370" max="4370" width="6.26953125" style="150" bestFit="1" customWidth="1"/>
    <col min="4371" max="4371" width="4.7265625" style="150" bestFit="1" customWidth="1"/>
    <col min="4372" max="4372" width="4.6328125" style="150" customWidth="1"/>
    <col min="4373" max="4373" width="8.7265625" style="150"/>
    <col min="4374" max="4374" width="4.6328125" style="150" customWidth="1"/>
    <col min="4375" max="4375" width="8.7265625" style="150"/>
    <col min="4376" max="4376" width="4.6328125" style="150" customWidth="1"/>
    <col min="4377" max="4377" width="8.7265625" style="150"/>
    <col min="4378" max="4378" width="4.6328125" style="150" customWidth="1"/>
    <col min="4379" max="4379" width="8.7265625" style="150"/>
    <col min="4380" max="4380" width="4.6328125" style="150" customWidth="1"/>
    <col min="4381" max="4608" width="8.7265625" style="150"/>
    <col min="4609" max="4609" width="5.6328125" style="150" customWidth="1"/>
    <col min="4610" max="4610" width="3" style="150" customWidth="1"/>
    <col min="4611" max="4611" width="15.36328125" style="150" customWidth="1"/>
    <col min="4612" max="4612" width="7.26953125" style="150" bestFit="1" customWidth="1"/>
    <col min="4613" max="4613" width="6.26953125" style="150" bestFit="1" customWidth="1"/>
    <col min="4614" max="4614" width="4.7265625" style="150" bestFit="1" customWidth="1"/>
    <col min="4615" max="4615" width="6.26953125" style="150" bestFit="1" customWidth="1"/>
    <col min="4616" max="4616" width="4.7265625" style="150" bestFit="1" customWidth="1"/>
    <col min="4617" max="4617" width="6.26953125" style="150" bestFit="1" customWidth="1"/>
    <col min="4618" max="4618" width="4.7265625" style="150" bestFit="1" customWidth="1"/>
    <col min="4619" max="4619" width="6.08984375" style="150" customWidth="1"/>
    <col min="4620" max="4620" width="6.26953125" style="150" bestFit="1" customWidth="1"/>
    <col min="4621" max="4621" width="4.7265625" style="150" bestFit="1" customWidth="1"/>
    <col min="4622" max="4622" width="6.26953125" style="150" bestFit="1" customWidth="1"/>
    <col min="4623" max="4623" width="4.453125" style="150" customWidth="1"/>
    <col min="4624" max="4624" width="6.26953125" style="150" bestFit="1" customWidth="1"/>
    <col min="4625" max="4625" width="4.7265625" style="150" bestFit="1" customWidth="1"/>
    <col min="4626" max="4626" width="6.26953125" style="150" bestFit="1" customWidth="1"/>
    <col min="4627" max="4627" width="4.7265625" style="150" bestFit="1" customWidth="1"/>
    <col min="4628" max="4628" width="4.6328125" style="150" customWidth="1"/>
    <col min="4629" max="4629" width="8.7265625" style="150"/>
    <col min="4630" max="4630" width="4.6328125" style="150" customWidth="1"/>
    <col min="4631" max="4631" width="8.7265625" style="150"/>
    <col min="4632" max="4632" width="4.6328125" style="150" customWidth="1"/>
    <col min="4633" max="4633" width="8.7265625" style="150"/>
    <col min="4634" max="4634" width="4.6328125" style="150" customWidth="1"/>
    <col min="4635" max="4635" width="8.7265625" style="150"/>
    <col min="4636" max="4636" width="4.6328125" style="150" customWidth="1"/>
    <col min="4637" max="4864" width="8.7265625" style="150"/>
    <col min="4865" max="4865" width="5.6328125" style="150" customWidth="1"/>
    <col min="4866" max="4866" width="3" style="150" customWidth="1"/>
    <col min="4867" max="4867" width="15.36328125" style="150" customWidth="1"/>
    <col min="4868" max="4868" width="7.26953125" style="150" bestFit="1" customWidth="1"/>
    <col min="4869" max="4869" width="6.26953125" style="150" bestFit="1" customWidth="1"/>
    <col min="4870" max="4870" width="4.7265625" style="150" bestFit="1" customWidth="1"/>
    <col min="4871" max="4871" width="6.26953125" style="150" bestFit="1" customWidth="1"/>
    <col min="4872" max="4872" width="4.7265625" style="150" bestFit="1" customWidth="1"/>
    <col min="4873" max="4873" width="6.26953125" style="150" bestFit="1" customWidth="1"/>
    <col min="4874" max="4874" width="4.7265625" style="150" bestFit="1" customWidth="1"/>
    <col min="4875" max="4875" width="6.08984375" style="150" customWidth="1"/>
    <col min="4876" max="4876" width="6.26953125" style="150" bestFit="1" customWidth="1"/>
    <col min="4877" max="4877" width="4.7265625" style="150" bestFit="1" customWidth="1"/>
    <col min="4878" max="4878" width="6.26953125" style="150" bestFit="1" customWidth="1"/>
    <col min="4879" max="4879" width="4.453125" style="150" customWidth="1"/>
    <col min="4880" max="4880" width="6.26953125" style="150" bestFit="1" customWidth="1"/>
    <col min="4881" max="4881" width="4.7265625" style="150" bestFit="1" customWidth="1"/>
    <col min="4882" max="4882" width="6.26953125" style="150" bestFit="1" customWidth="1"/>
    <col min="4883" max="4883" width="4.7265625" style="150" bestFit="1" customWidth="1"/>
    <col min="4884" max="4884" width="4.6328125" style="150" customWidth="1"/>
    <col min="4885" max="4885" width="8.7265625" style="150"/>
    <col min="4886" max="4886" width="4.6328125" style="150" customWidth="1"/>
    <col min="4887" max="4887" width="8.7265625" style="150"/>
    <col min="4888" max="4888" width="4.6328125" style="150" customWidth="1"/>
    <col min="4889" max="4889" width="8.7265625" style="150"/>
    <col min="4890" max="4890" width="4.6328125" style="150" customWidth="1"/>
    <col min="4891" max="4891" width="8.7265625" style="150"/>
    <col min="4892" max="4892" width="4.6328125" style="150" customWidth="1"/>
    <col min="4893" max="5120" width="8.7265625" style="150"/>
    <col min="5121" max="5121" width="5.6328125" style="150" customWidth="1"/>
    <col min="5122" max="5122" width="3" style="150" customWidth="1"/>
    <col min="5123" max="5123" width="15.36328125" style="150" customWidth="1"/>
    <col min="5124" max="5124" width="7.26953125" style="150" bestFit="1" customWidth="1"/>
    <col min="5125" max="5125" width="6.26953125" style="150" bestFit="1" customWidth="1"/>
    <col min="5126" max="5126" width="4.7265625" style="150" bestFit="1" customWidth="1"/>
    <col min="5127" max="5127" width="6.26953125" style="150" bestFit="1" customWidth="1"/>
    <col min="5128" max="5128" width="4.7265625" style="150" bestFit="1" customWidth="1"/>
    <col min="5129" max="5129" width="6.26953125" style="150" bestFit="1" customWidth="1"/>
    <col min="5130" max="5130" width="4.7265625" style="150" bestFit="1" customWidth="1"/>
    <col min="5131" max="5131" width="6.08984375" style="150" customWidth="1"/>
    <col min="5132" max="5132" width="6.26953125" style="150" bestFit="1" customWidth="1"/>
    <col min="5133" max="5133" width="4.7265625" style="150" bestFit="1" customWidth="1"/>
    <col min="5134" max="5134" width="6.26953125" style="150" bestFit="1" customWidth="1"/>
    <col min="5135" max="5135" width="4.453125" style="150" customWidth="1"/>
    <col min="5136" max="5136" width="6.26953125" style="150" bestFit="1" customWidth="1"/>
    <col min="5137" max="5137" width="4.7265625" style="150" bestFit="1" customWidth="1"/>
    <col min="5138" max="5138" width="6.26953125" style="150" bestFit="1" customWidth="1"/>
    <col min="5139" max="5139" width="4.7265625" style="150" bestFit="1" customWidth="1"/>
    <col min="5140" max="5140" width="4.6328125" style="150" customWidth="1"/>
    <col min="5141" max="5141" width="8.7265625" style="150"/>
    <col min="5142" max="5142" width="4.6328125" style="150" customWidth="1"/>
    <col min="5143" max="5143" width="8.7265625" style="150"/>
    <col min="5144" max="5144" width="4.6328125" style="150" customWidth="1"/>
    <col min="5145" max="5145" width="8.7265625" style="150"/>
    <col min="5146" max="5146" width="4.6328125" style="150" customWidth="1"/>
    <col min="5147" max="5147" width="8.7265625" style="150"/>
    <col min="5148" max="5148" width="4.6328125" style="150" customWidth="1"/>
    <col min="5149" max="5376" width="8.7265625" style="150"/>
    <col min="5377" max="5377" width="5.6328125" style="150" customWidth="1"/>
    <col min="5378" max="5378" width="3" style="150" customWidth="1"/>
    <col min="5379" max="5379" width="15.36328125" style="150" customWidth="1"/>
    <col min="5380" max="5380" width="7.26953125" style="150" bestFit="1" customWidth="1"/>
    <col min="5381" max="5381" width="6.26953125" style="150" bestFit="1" customWidth="1"/>
    <col min="5382" max="5382" width="4.7265625" style="150" bestFit="1" customWidth="1"/>
    <col min="5383" max="5383" width="6.26953125" style="150" bestFit="1" customWidth="1"/>
    <col min="5384" max="5384" width="4.7265625" style="150" bestFit="1" customWidth="1"/>
    <col min="5385" max="5385" width="6.26953125" style="150" bestFit="1" customWidth="1"/>
    <col min="5386" max="5386" width="4.7265625" style="150" bestFit="1" customWidth="1"/>
    <col min="5387" max="5387" width="6.08984375" style="150" customWidth="1"/>
    <col min="5388" max="5388" width="6.26953125" style="150" bestFit="1" customWidth="1"/>
    <col min="5389" max="5389" width="4.7265625" style="150" bestFit="1" customWidth="1"/>
    <col min="5390" max="5390" width="6.26953125" style="150" bestFit="1" customWidth="1"/>
    <col min="5391" max="5391" width="4.453125" style="150" customWidth="1"/>
    <col min="5392" max="5392" width="6.26953125" style="150" bestFit="1" customWidth="1"/>
    <col min="5393" max="5393" width="4.7265625" style="150" bestFit="1" customWidth="1"/>
    <col min="5394" max="5394" width="6.26953125" style="150" bestFit="1" customWidth="1"/>
    <col min="5395" max="5395" width="4.7265625" style="150" bestFit="1" customWidth="1"/>
    <col min="5396" max="5396" width="4.6328125" style="150" customWidth="1"/>
    <col min="5397" max="5397" width="8.7265625" style="150"/>
    <col min="5398" max="5398" width="4.6328125" style="150" customWidth="1"/>
    <col min="5399" max="5399" width="8.7265625" style="150"/>
    <col min="5400" max="5400" width="4.6328125" style="150" customWidth="1"/>
    <col min="5401" max="5401" width="8.7265625" style="150"/>
    <col min="5402" max="5402" width="4.6328125" style="150" customWidth="1"/>
    <col min="5403" max="5403" width="8.7265625" style="150"/>
    <col min="5404" max="5404" width="4.6328125" style="150" customWidth="1"/>
    <col min="5405" max="5632" width="8.7265625" style="150"/>
    <col min="5633" max="5633" width="5.6328125" style="150" customWidth="1"/>
    <col min="5634" max="5634" width="3" style="150" customWidth="1"/>
    <col min="5635" max="5635" width="15.36328125" style="150" customWidth="1"/>
    <col min="5636" max="5636" width="7.26953125" style="150" bestFit="1" customWidth="1"/>
    <col min="5637" max="5637" width="6.26953125" style="150" bestFit="1" customWidth="1"/>
    <col min="5638" max="5638" width="4.7265625" style="150" bestFit="1" customWidth="1"/>
    <col min="5639" max="5639" width="6.26953125" style="150" bestFit="1" customWidth="1"/>
    <col min="5640" max="5640" width="4.7265625" style="150" bestFit="1" customWidth="1"/>
    <col min="5641" max="5641" width="6.26953125" style="150" bestFit="1" customWidth="1"/>
    <col min="5642" max="5642" width="4.7265625" style="150" bestFit="1" customWidth="1"/>
    <col min="5643" max="5643" width="6.08984375" style="150" customWidth="1"/>
    <col min="5644" max="5644" width="6.26953125" style="150" bestFit="1" customWidth="1"/>
    <col min="5645" max="5645" width="4.7265625" style="150" bestFit="1" customWidth="1"/>
    <col min="5646" max="5646" width="6.26953125" style="150" bestFit="1" customWidth="1"/>
    <col min="5647" max="5647" width="4.453125" style="150" customWidth="1"/>
    <col min="5648" max="5648" width="6.26953125" style="150" bestFit="1" customWidth="1"/>
    <col min="5649" max="5649" width="4.7265625" style="150" bestFit="1" customWidth="1"/>
    <col min="5650" max="5650" width="6.26953125" style="150" bestFit="1" customWidth="1"/>
    <col min="5651" max="5651" width="4.7265625" style="150" bestFit="1" customWidth="1"/>
    <col min="5652" max="5652" width="4.6328125" style="150" customWidth="1"/>
    <col min="5653" max="5653" width="8.7265625" style="150"/>
    <col min="5654" max="5654" width="4.6328125" style="150" customWidth="1"/>
    <col min="5655" max="5655" width="8.7265625" style="150"/>
    <col min="5656" max="5656" width="4.6328125" style="150" customWidth="1"/>
    <col min="5657" max="5657" width="8.7265625" style="150"/>
    <col min="5658" max="5658" width="4.6328125" style="150" customWidth="1"/>
    <col min="5659" max="5659" width="8.7265625" style="150"/>
    <col min="5660" max="5660" width="4.6328125" style="150" customWidth="1"/>
    <col min="5661" max="5888" width="8.7265625" style="150"/>
    <col min="5889" max="5889" width="5.6328125" style="150" customWidth="1"/>
    <col min="5890" max="5890" width="3" style="150" customWidth="1"/>
    <col min="5891" max="5891" width="15.36328125" style="150" customWidth="1"/>
    <col min="5892" max="5892" width="7.26953125" style="150" bestFit="1" customWidth="1"/>
    <col min="5893" max="5893" width="6.26953125" style="150" bestFit="1" customWidth="1"/>
    <col min="5894" max="5894" width="4.7265625" style="150" bestFit="1" customWidth="1"/>
    <col min="5895" max="5895" width="6.26953125" style="150" bestFit="1" customWidth="1"/>
    <col min="5896" max="5896" width="4.7265625" style="150" bestFit="1" customWidth="1"/>
    <col min="5897" max="5897" width="6.26953125" style="150" bestFit="1" customWidth="1"/>
    <col min="5898" max="5898" width="4.7265625" style="150" bestFit="1" customWidth="1"/>
    <col min="5899" max="5899" width="6.08984375" style="150" customWidth="1"/>
    <col min="5900" max="5900" width="6.26953125" style="150" bestFit="1" customWidth="1"/>
    <col min="5901" max="5901" width="4.7265625" style="150" bestFit="1" customWidth="1"/>
    <col min="5902" max="5902" width="6.26953125" style="150" bestFit="1" customWidth="1"/>
    <col min="5903" max="5903" width="4.453125" style="150" customWidth="1"/>
    <col min="5904" max="5904" width="6.26953125" style="150" bestFit="1" customWidth="1"/>
    <col min="5905" max="5905" width="4.7265625" style="150" bestFit="1" customWidth="1"/>
    <col min="5906" max="5906" width="6.26953125" style="150" bestFit="1" customWidth="1"/>
    <col min="5907" max="5907" width="4.7265625" style="150" bestFit="1" customWidth="1"/>
    <col min="5908" max="5908" width="4.6328125" style="150" customWidth="1"/>
    <col min="5909" max="5909" width="8.7265625" style="150"/>
    <col min="5910" max="5910" width="4.6328125" style="150" customWidth="1"/>
    <col min="5911" max="5911" width="8.7265625" style="150"/>
    <col min="5912" max="5912" width="4.6328125" style="150" customWidth="1"/>
    <col min="5913" max="5913" width="8.7265625" style="150"/>
    <col min="5914" max="5914" width="4.6328125" style="150" customWidth="1"/>
    <col min="5915" max="5915" width="8.7265625" style="150"/>
    <col min="5916" max="5916" width="4.6328125" style="150" customWidth="1"/>
    <col min="5917" max="6144" width="8.7265625" style="150"/>
    <col min="6145" max="6145" width="5.6328125" style="150" customWidth="1"/>
    <col min="6146" max="6146" width="3" style="150" customWidth="1"/>
    <col min="6147" max="6147" width="15.36328125" style="150" customWidth="1"/>
    <col min="6148" max="6148" width="7.26953125" style="150" bestFit="1" customWidth="1"/>
    <col min="6149" max="6149" width="6.26953125" style="150" bestFit="1" customWidth="1"/>
    <col min="6150" max="6150" width="4.7265625" style="150" bestFit="1" customWidth="1"/>
    <col min="6151" max="6151" width="6.26953125" style="150" bestFit="1" customWidth="1"/>
    <col min="6152" max="6152" width="4.7265625" style="150" bestFit="1" customWidth="1"/>
    <col min="6153" max="6153" width="6.26953125" style="150" bestFit="1" customWidth="1"/>
    <col min="6154" max="6154" width="4.7265625" style="150" bestFit="1" customWidth="1"/>
    <col min="6155" max="6155" width="6.08984375" style="150" customWidth="1"/>
    <col min="6156" max="6156" width="6.26953125" style="150" bestFit="1" customWidth="1"/>
    <col min="6157" max="6157" width="4.7265625" style="150" bestFit="1" customWidth="1"/>
    <col min="6158" max="6158" width="6.26953125" style="150" bestFit="1" customWidth="1"/>
    <col min="6159" max="6159" width="4.453125" style="150" customWidth="1"/>
    <col min="6160" max="6160" width="6.26953125" style="150" bestFit="1" customWidth="1"/>
    <col min="6161" max="6161" width="4.7265625" style="150" bestFit="1" customWidth="1"/>
    <col min="6162" max="6162" width="6.26953125" style="150" bestFit="1" customWidth="1"/>
    <col min="6163" max="6163" width="4.7265625" style="150" bestFit="1" customWidth="1"/>
    <col min="6164" max="6164" width="4.6328125" style="150" customWidth="1"/>
    <col min="6165" max="6165" width="8.7265625" style="150"/>
    <col min="6166" max="6166" width="4.6328125" style="150" customWidth="1"/>
    <col min="6167" max="6167" width="8.7265625" style="150"/>
    <col min="6168" max="6168" width="4.6328125" style="150" customWidth="1"/>
    <col min="6169" max="6169" width="8.7265625" style="150"/>
    <col min="6170" max="6170" width="4.6328125" style="150" customWidth="1"/>
    <col min="6171" max="6171" width="8.7265625" style="150"/>
    <col min="6172" max="6172" width="4.6328125" style="150" customWidth="1"/>
    <col min="6173" max="6400" width="8.7265625" style="150"/>
    <col min="6401" max="6401" width="5.6328125" style="150" customWidth="1"/>
    <col min="6402" max="6402" width="3" style="150" customWidth="1"/>
    <col min="6403" max="6403" width="15.36328125" style="150" customWidth="1"/>
    <col min="6404" max="6404" width="7.26953125" style="150" bestFit="1" customWidth="1"/>
    <col min="6405" max="6405" width="6.26953125" style="150" bestFit="1" customWidth="1"/>
    <col min="6406" max="6406" width="4.7265625" style="150" bestFit="1" customWidth="1"/>
    <col min="6407" max="6407" width="6.26953125" style="150" bestFit="1" customWidth="1"/>
    <col min="6408" max="6408" width="4.7265625" style="150" bestFit="1" customWidth="1"/>
    <col min="6409" max="6409" width="6.26953125" style="150" bestFit="1" customWidth="1"/>
    <col min="6410" max="6410" width="4.7265625" style="150" bestFit="1" customWidth="1"/>
    <col min="6411" max="6411" width="6.08984375" style="150" customWidth="1"/>
    <col min="6412" max="6412" width="6.26953125" style="150" bestFit="1" customWidth="1"/>
    <col min="6413" max="6413" width="4.7265625" style="150" bestFit="1" customWidth="1"/>
    <col min="6414" max="6414" width="6.26953125" style="150" bestFit="1" customWidth="1"/>
    <col min="6415" max="6415" width="4.453125" style="150" customWidth="1"/>
    <col min="6416" max="6416" width="6.26953125" style="150" bestFit="1" customWidth="1"/>
    <col min="6417" max="6417" width="4.7265625" style="150" bestFit="1" customWidth="1"/>
    <col min="6418" max="6418" width="6.26953125" style="150" bestFit="1" customWidth="1"/>
    <col min="6419" max="6419" width="4.7265625" style="150" bestFit="1" customWidth="1"/>
    <col min="6420" max="6420" width="4.6328125" style="150" customWidth="1"/>
    <col min="6421" max="6421" width="8.7265625" style="150"/>
    <col min="6422" max="6422" width="4.6328125" style="150" customWidth="1"/>
    <col min="6423" max="6423" width="8.7265625" style="150"/>
    <col min="6424" max="6424" width="4.6328125" style="150" customWidth="1"/>
    <col min="6425" max="6425" width="8.7265625" style="150"/>
    <col min="6426" max="6426" width="4.6328125" style="150" customWidth="1"/>
    <col min="6427" max="6427" width="8.7265625" style="150"/>
    <col min="6428" max="6428" width="4.6328125" style="150" customWidth="1"/>
    <col min="6429" max="6656" width="8.7265625" style="150"/>
    <col min="6657" max="6657" width="5.6328125" style="150" customWidth="1"/>
    <col min="6658" max="6658" width="3" style="150" customWidth="1"/>
    <col min="6659" max="6659" width="15.36328125" style="150" customWidth="1"/>
    <col min="6660" max="6660" width="7.26953125" style="150" bestFit="1" customWidth="1"/>
    <col min="6661" max="6661" width="6.26953125" style="150" bestFit="1" customWidth="1"/>
    <col min="6662" max="6662" width="4.7265625" style="150" bestFit="1" customWidth="1"/>
    <col min="6663" max="6663" width="6.26953125" style="150" bestFit="1" customWidth="1"/>
    <col min="6664" max="6664" width="4.7265625" style="150" bestFit="1" customWidth="1"/>
    <col min="6665" max="6665" width="6.26953125" style="150" bestFit="1" customWidth="1"/>
    <col min="6666" max="6666" width="4.7265625" style="150" bestFit="1" customWidth="1"/>
    <col min="6667" max="6667" width="6.08984375" style="150" customWidth="1"/>
    <col min="6668" max="6668" width="6.26953125" style="150" bestFit="1" customWidth="1"/>
    <col min="6669" max="6669" width="4.7265625" style="150" bestFit="1" customWidth="1"/>
    <col min="6670" max="6670" width="6.26953125" style="150" bestFit="1" customWidth="1"/>
    <col min="6671" max="6671" width="4.453125" style="150" customWidth="1"/>
    <col min="6672" max="6672" width="6.26953125" style="150" bestFit="1" customWidth="1"/>
    <col min="6673" max="6673" width="4.7265625" style="150" bestFit="1" customWidth="1"/>
    <col min="6674" max="6674" width="6.26953125" style="150" bestFit="1" customWidth="1"/>
    <col min="6675" max="6675" width="4.7265625" style="150" bestFit="1" customWidth="1"/>
    <col min="6676" max="6676" width="4.6328125" style="150" customWidth="1"/>
    <col min="6677" max="6677" width="8.7265625" style="150"/>
    <col min="6678" max="6678" width="4.6328125" style="150" customWidth="1"/>
    <col min="6679" max="6679" width="8.7265625" style="150"/>
    <col min="6680" max="6680" width="4.6328125" style="150" customWidth="1"/>
    <col min="6681" max="6681" width="8.7265625" style="150"/>
    <col min="6682" max="6682" width="4.6328125" style="150" customWidth="1"/>
    <col min="6683" max="6683" width="8.7265625" style="150"/>
    <col min="6684" max="6684" width="4.6328125" style="150" customWidth="1"/>
    <col min="6685" max="6912" width="8.7265625" style="150"/>
    <col min="6913" max="6913" width="5.6328125" style="150" customWidth="1"/>
    <col min="6914" max="6914" width="3" style="150" customWidth="1"/>
    <col min="6915" max="6915" width="15.36328125" style="150" customWidth="1"/>
    <col min="6916" max="6916" width="7.26953125" style="150" bestFit="1" customWidth="1"/>
    <col min="6917" max="6917" width="6.26953125" style="150" bestFit="1" customWidth="1"/>
    <col min="6918" max="6918" width="4.7265625" style="150" bestFit="1" customWidth="1"/>
    <col min="6919" max="6919" width="6.26953125" style="150" bestFit="1" customWidth="1"/>
    <col min="6920" max="6920" width="4.7265625" style="150" bestFit="1" customWidth="1"/>
    <col min="6921" max="6921" width="6.26953125" style="150" bestFit="1" customWidth="1"/>
    <col min="6922" max="6922" width="4.7265625" style="150" bestFit="1" customWidth="1"/>
    <col min="6923" max="6923" width="6.08984375" style="150" customWidth="1"/>
    <col min="6924" max="6924" width="6.26953125" style="150" bestFit="1" customWidth="1"/>
    <col min="6925" max="6925" width="4.7265625" style="150" bestFit="1" customWidth="1"/>
    <col min="6926" max="6926" width="6.26953125" style="150" bestFit="1" customWidth="1"/>
    <col min="6927" max="6927" width="4.453125" style="150" customWidth="1"/>
    <col min="6928" max="6928" width="6.26953125" style="150" bestFit="1" customWidth="1"/>
    <col min="6929" max="6929" width="4.7265625" style="150" bestFit="1" customWidth="1"/>
    <col min="6930" max="6930" width="6.26953125" style="150" bestFit="1" customWidth="1"/>
    <col min="6931" max="6931" width="4.7265625" style="150" bestFit="1" customWidth="1"/>
    <col min="6932" max="6932" width="4.6328125" style="150" customWidth="1"/>
    <col min="6933" max="6933" width="8.7265625" style="150"/>
    <col min="6934" max="6934" width="4.6328125" style="150" customWidth="1"/>
    <col min="6935" max="6935" width="8.7265625" style="150"/>
    <col min="6936" max="6936" width="4.6328125" style="150" customWidth="1"/>
    <col min="6937" max="6937" width="8.7265625" style="150"/>
    <col min="6938" max="6938" width="4.6328125" style="150" customWidth="1"/>
    <col min="6939" max="6939" width="8.7265625" style="150"/>
    <col min="6940" max="6940" width="4.6328125" style="150" customWidth="1"/>
    <col min="6941" max="7168" width="8.7265625" style="150"/>
    <col min="7169" max="7169" width="5.6328125" style="150" customWidth="1"/>
    <col min="7170" max="7170" width="3" style="150" customWidth="1"/>
    <col min="7171" max="7171" width="15.36328125" style="150" customWidth="1"/>
    <col min="7172" max="7172" width="7.26953125" style="150" bestFit="1" customWidth="1"/>
    <col min="7173" max="7173" width="6.26953125" style="150" bestFit="1" customWidth="1"/>
    <col min="7174" max="7174" width="4.7265625" style="150" bestFit="1" customWidth="1"/>
    <col min="7175" max="7175" width="6.26953125" style="150" bestFit="1" customWidth="1"/>
    <col min="7176" max="7176" width="4.7265625" style="150" bestFit="1" customWidth="1"/>
    <col min="7177" max="7177" width="6.26953125" style="150" bestFit="1" customWidth="1"/>
    <col min="7178" max="7178" width="4.7265625" style="150" bestFit="1" customWidth="1"/>
    <col min="7179" max="7179" width="6.08984375" style="150" customWidth="1"/>
    <col min="7180" max="7180" width="6.26953125" style="150" bestFit="1" customWidth="1"/>
    <col min="7181" max="7181" width="4.7265625" style="150" bestFit="1" customWidth="1"/>
    <col min="7182" max="7182" width="6.26953125" style="150" bestFit="1" customWidth="1"/>
    <col min="7183" max="7183" width="4.453125" style="150" customWidth="1"/>
    <col min="7184" max="7184" width="6.26953125" style="150" bestFit="1" customWidth="1"/>
    <col min="7185" max="7185" width="4.7265625" style="150" bestFit="1" customWidth="1"/>
    <col min="7186" max="7186" width="6.26953125" style="150" bestFit="1" customWidth="1"/>
    <col min="7187" max="7187" width="4.7265625" style="150" bestFit="1" customWidth="1"/>
    <col min="7188" max="7188" width="4.6328125" style="150" customWidth="1"/>
    <col min="7189" max="7189" width="8.7265625" style="150"/>
    <col min="7190" max="7190" width="4.6328125" style="150" customWidth="1"/>
    <col min="7191" max="7191" width="8.7265625" style="150"/>
    <col min="7192" max="7192" width="4.6328125" style="150" customWidth="1"/>
    <col min="7193" max="7193" width="8.7265625" style="150"/>
    <col min="7194" max="7194" width="4.6328125" style="150" customWidth="1"/>
    <col min="7195" max="7195" width="8.7265625" style="150"/>
    <col min="7196" max="7196" width="4.6328125" style="150" customWidth="1"/>
    <col min="7197" max="7424" width="8.7265625" style="150"/>
    <col min="7425" max="7425" width="5.6328125" style="150" customWidth="1"/>
    <col min="7426" max="7426" width="3" style="150" customWidth="1"/>
    <col min="7427" max="7427" width="15.36328125" style="150" customWidth="1"/>
    <col min="7428" max="7428" width="7.26953125" style="150" bestFit="1" customWidth="1"/>
    <col min="7429" max="7429" width="6.26953125" style="150" bestFit="1" customWidth="1"/>
    <col min="7430" max="7430" width="4.7265625" style="150" bestFit="1" customWidth="1"/>
    <col min="7431" max="7431" width="6.26953125" style="150" bestFit="1" customWidth="1"/>
    <col min="7432" max="7432" width="4.7265625" style="150" bestFit="1" customWidth="1"/>
    <col min="7433" max="7433" width="6.26953125" style="150" bestFit="1" customWidth="1"/>
    <col min="7434" max="7434" width="4.7265625" style="150" bestFit="1" customWidth="1"/>
    <col min="7435" max="7435" width="6.08984375" style="150" customWidth="1"/>
    <col min="7436" max="7436" width="6.26953125" style="150" bestFit="1" customWidth="1"/>
    <col min="7437" max="7437" width="4.7265625" style="150" bestFit="1" customWidth="1"/>
    <col min="7438" max="7438" width="6.26953125" style="150" bestFit="1" customWidth="1"/>
    <col min="7439" max="7439" width="4.453125" style="150" customWidth="1"/>
    <col min="7440" max="7440" width="6.26953125" style="150" bestFit="1" customWidth="1"/>
    <col min="7441" max="7441" width="4.7265625" style="150" bestFit="1" customWidth="1"/>
    <col min="7442" max="7442" width="6.26953125" style="150" bestFit="1" customWidth="1"/>
    <col min="7443" max="7443" width="4.7265625" style="150" bestFit="1" customWidth="1"/>
    <col min="7444" max="7444" width="4.6328125" style="150" customWidth="1"/>
    <col min="7445" max="7445" width="8.7265625" style="150"/>
    <col min="7446" max="7446" width="4.6328125" style="150" customWidth="1"/>
    <col min="7447" max="7447" width="8.7265625" style="150"/>
    <col min="7448" max="7448" width="4.6328125" style="150" customWidth="1"/>
    <col min="7449" max="7449" width="8.7265625" style="150"/>
    <col min="7450" max="7450" width="4.6328125" style="150" customWidth="1"/>
    <col min="7451" max="7451" width="8.7265625" style="150"/>
    <col min="7452" max="7452" width="4.6328125" style="150" customWidth="1"/>
    <col min="7453" max="7680" width="8.7265625" style="150"/>
    <col min="7681" max="7681" width="5.6328125" style="150" customWidth="1"/>
    <col min="7682" max="7682" width="3" style="150" customWidth="1"/>
    <col min="7683" max="7683" width="15.36328125" style="150" customWidth="1"/>
    <col min="7684" max="7684" width="7.26953125" style="150" bestFit="1" customWidth="1"/>
    <col min="7685" max="7685" width="6.26953125" style="150" bestFit="1" customWidth="1"/>
    <col min="7686" max="7686" width="4.7265625" style="150" bestFit="1" customWidth="1"/>
    <col min="7687" max="7687" width="6.26953125" style="150" bestFit="1" customWidth="1"/>
    <col min="7688" max="7688" width="4.7265625" style="150" bestFit="1" customWidth="1"/>
    <col min="7689" max="7689" width="6.26953125" style="150" bestFit="1" customWidth="1"/>
    <col min="7690" max="7690" width="4.7265625" style="150" bestFit="1" customWidth="1"/>
    <col min="7691" max="7691" width="6.08984375" style="150" customWidth="1"/>
    <col min="7692" max="7692" width="6.26953125" style="150" bestFit="1" customWidth="1"/>
    <col min="7693" max="7693" width="4.7265625" style="150" bestFit="1" customWidth="1"/>
    <col min="7694" max="7694" width="6.26953125" style="150" bestFit="1" customWidth="1"/>
    <col min="7695" max="7695" width="4.453125" style="150" customWidth="1"/>
    <col min="7696" max="7696" width="6.26953125" style="150" bestFit="1" customWidth="1"/>
    <col min="7697" max="7697" width="4.7265625" style="150" bestFit="1" customWidth="1"/>
    <col min="7698" max="7698" width="6.26953125" style="150" bestFit="1" customWidth="1"/>
    <col min="7699" max="7699" width="4.7265625" style="150" bestFit="1" customWidth="1"/>
    <col min="7700" max="7700" width="4.6328125" style="150" customWidth="1"/>
    <col min="7701" max="7701" width="8.7265625" style="150"/>
    <col min="7702" max="7702" width="4.6328125" style="150" customWidth="1"/>
    <col min="7703" max="7703" width="8.7265625" style="150"/>
    <col min="7704" max="7704" width="4.6328125" style="150" customWidth="1"/>
    <col min="7705" max="7705" width="8.7265625" style="150"/>
    <col min="7706" max="7706" width="4.6328125" style="150" customWidth="1"/>
    <col min="7707" max="7707" width="8.7265625" style="150"/>
    <col min="7708" max="7708" width="4.6328125" style="150" customWidth="1"/>
    <col min="7709" max="7936" width="8.7265625" style="150"/>
    <col min="7937" max="7937" width="5.6328125" style="150" customWidth="1"/>
    <col min="7938" max="7938" width="3" style="150" customWidth="1"/>
    <col min="7939" max="7939" width="15.36328125" style="150" customWidth="1"/>
    <col min="7940" max="7940" width="7.26953125" style="150" bestFit="1" customWidth="1"/>
    <col min="7941" max="7941" width="6.26953125" style="150" bestFit="1" customWidth="1"/>
    <col min="7942" max="7942" width="4.7265625" style="150" bestFit="1" customWidth="1"/>
    <col min="7943" max="7943" width="6.26953125" style="150" bestFit="1" customWidth="1"/>
    <col min="7944" max="7944" width="4.7265625" style="150" bestFit="1" customWidth="1"/>
    <col min="7945" max="7945" width="6.26953125" style="150" bestFit="1" customWidth="1"/>
    <col min="7946" max="7946" width="4.7265625" style="150" bestFit="1" customWidth="1"/>
    <col min="7947" max="7947" width="6.08984375" style="150" customWidth="1"/>
    <col min="7948" max="7948" width="6.26953125" style="150" bestFit="1" customWidth="1"/>
    <col min="7949" max="7949" width="4.7265625" style="150" bestFit="1" customWidth="1"/>
    <col min="7950" max="7950" width="6.26953125" style="150" bestFit="1" customWidth="1"/>
    <col min="7951" max="7951" width="4.453125" style="150" customWidth="1"/>
    <col min="7952" max="7952" width="6.26953125" style="150" bestFit="1" customWidth="1"/>
    <col min="7953" max="7953" width="4.7265625" style="150" bestFit="1" customWidth="1"/>
    <col min="7954" max="7954" width="6.26953125" style="150" bestFit="1" customWidth="1"/>
    <col min="7955" max="7955" width="4.7265625" style="150" bestFit="1" customWidth="1"/>
    <col min="7956" max="7956" width="4.6328125" style="150" customWidth="1"/>
    <col min="7957" max="7957" width="8.7265625" style="150"/>
    <col min="7958" max="7958" width="4.6328125" style="150" customWidth="1"/>
    <col min="7959" max="7959" width="8.7265625" style="150"/>
    <col min="7960" max="7960" width="4.6328125" style="150" customWidth="1"/>
    <col min="7961" max="7961" width="8.7265625" style="150"/>
    <col min="7962" max="7962" width="4.6328125" style="150" customWidth="1"/>
    <col min="7963" max="7963" width="8.7265625" style="150"/>
    <col min="7964" max="7964" width="4.6328125" style="150" customWidth="1"/>
    <col min="7965" max="8192" width="8.7265625" style="150"/>
    <col min="8193" max="8193" width="5.6328125" style="150" customWidth="1"/>
    <col min="8194" max="8194" width="3" style="150" customWidth="1"/>
    <col min="8195" max="8195" width="15.36328125" style="150" customWidth="1"/>
    <col min="8196" max="8196" width="7.26953125" style="150" bestFit="1" customWidth="1"/>
    <col min="8197" max="8197" width="6.26953125" style="150" bestFit="1" customWidth="1"/>
    <col min="8198" max="8198" width="4.7265625" style="150" bestFit="1" customWidth="1"/>
    <col min="8199" max="8199" width="6.26953125" style="150" bestFit="1" customWidth="1"/>
    <col min="8200" max="8200" width="4.7265625" style="150" bestFit="1" customWidth="1"/>
    <col min="8201" max="8201" width="6.26953125" style="150" bestFit="1" customWidth="1"/>
    <col min="8202" max="8202" width="4.7265625" style="150" bestFit="1" customWidth="1"/>
    <col min="8203" max="8203" width="6.08984375" style="150" customWidth="1"/>
    <col min="8204" max="8204" width="6.26953125" style="150" bestFit="1" customWidth="1"/>
    <col min="8205" max="8205" width="4.7265625" style="150" bestFit="1" customWidth="1"/>
    <col min="8206" max="8206" width="6.26953125" style="150" bestFit="1" customWidth="1"/>
    <col min="8207" max="8207" width="4.453125" style="150" customWidth="1"/>
    <col min="8208" max="8208" width="6.26953125" style="150" bestFit="1" customWidth="1"/>
    <col min="8209" max="8209" width="4.7265625" style="150" bestFit="1" customWidth="1"/>
    <col min="8210" max="8210" width="6.26953125" style="150" bestFit="1" customWidth="1"/>
    <col min="8211" max="8211" width="4.7265625" style="150" bestFit="1" customWidth="1"/>
    <col min="8212" max="8212" width="4.6328125" style="150" customWidth="1"/>
    <col min="8213" max="8213" width="8.7265625" style="150"/>
    <col min="8214" max="8214" width="4.6328125" style="150" customWidth="1"/>
    <col min="8215" max="8215" width="8.7265625" style="150"/>
    <col min="8216" max="8216" width="4.6328125" style="150" customWidth="1"/>
    <col min="8217" max="8217" width="8.7265625" style="150"/>
    <col min="8218" max="8218" width="4.6328125" style="150" customWidth="1"/>
    <col min="8219" max="8219" width="8.7265625" style="150"/>
    <col min="8220" max="8220" width="4.6328125" style="150" customWidth="1"/>
    <col min="8221" max="8448" width="8.7265625" style="150"/>
    <col min="8449" max="8449" width="5.6328125" style="150" customWidth="1"/>
    <col min="8450" max="8450" width="3" style="150" customWidth="1"/>
    <col min="8451" max="8451" width="15.36328125" style="150" customWidth="1"/>
    <col min="8452" max="8452" width="7.26953125" style="150" bestFit="1" customWidth="1"/>
    <col min="8453" max="8453" width="6.26953125" style="150" bestFit="1" customWidth="1"/>
    <col min="8454" max="8454" width="4.7265625" style="150" bestFit="1" customWidth="1"/>
    <col min="8455" max="8455" width="6.26953125" style="150" bestFit="1" customWidth="1"/>
    <col min="8456" max="8456" width="4.7265625" style="150" bestFit="1" customWidth="1"/>
    <col min="8457" max="8457" width="6.26953125" style="150" bestFit="1" customWidth="1"/>
    <col min="8458" max="8458" width="4.7265625" style="150" bestFit="1" customWidth="1"/>
    <col min="8459" max="8459" width="6.08984375" style="150" customWidth="1"/>
    <col min="8460" max="8460" width="6.26953125" style="150" bestFit="1" customWidth="1"/>
    <col min="8461" max="8461" width="4.7265625" style="150" bestFit="1" customWidth="1"/>
    <col min="8462" max="8462" width="6.26953125" style="150" bestFit="1" customWidth="1"/>
    <col min="8463" max="8463" width="4.453125" style="150" customWidth="1"/>
    <col min="8464" max="8464" width="6.26953125" style="150" bestFit="1" customWidth="1"/>
    <col min="8465" max="8465" width="4.7265625" style="150" bestFit="1" customWidth="1"/>
    <col min="8466" max="8466" width="6.26953125" style="150" bestFit="1" customWidth="1"/>
    <col min="8467" max="8467" width="4.7265625" style="150" bestFit="1" customWidth="1"/>
    <col min="8468" max="8468" width="4.6328125" style="150" customWidth="1"/>
    <col min="8469" max="8469" width="8.7265625" style="150"/>
    <col min="8470" max="8470" width="4.6328125" style="150" customWidth="1"/>
    <col min="8471" max="8471" width="8.7265625" style="150"/>
    <col min="8472" max="8472" width="4.6328125" style="150" customWidth="1"/>
    <col min="8473" max="8473" width="8.7265625" style="150"/>
    <col min="8474" max="8474" width="4.6328125" style="150" customWidth="1"/>
    <col min="8475" max="8475" width="8.7265625" style="150"/>
    <col min="8476" max="8476" width="4.6328125" style="150" customWidth="1"/>
    <col min="8477" max="8704" width="8.7265625" style="150"/>
    <col min="8705" max="8705" width="5.6328125" style="150" customWidth="1"/>
    <col min="8706" max="8706" width="3" style="150" customWidth="1"/>
    <col min="8707" max="8707" width="15.36328125" style="150" customWidth="1"/>
    <col min="8708" max="8708" width="7.26953125" style="150" bestFit="1" customWidth="1"/>
    <col min="8709" max="8709" width="6.26953125" style="150" bestFit="1" customWidth="1"/>
    <col min="8710" max="8710" width="4.7265625" style="150" bestFit="1" customWidth="1"/>
    <col min="8711" max="8711" width="6.26953125" style="150" bestFit="1" customWidth="1"/>
    <col min="8712" max="8712" width="4.7265625" style="150" bestFit="1" customWidth="1"/>
    <col min="8713" max="8713" width="6.26953125" style="150" bestFit="1" customWidth="1"/>
    <col min="8714" max="8714" width="4.7265625" style="150" bestFit="1" customWidth="1"/>
    <col min="8715" max="8715" width="6.08984375" style="150" customWidth="1"/>
    <col min="8716" max="8716" width="6.26953125" style="150" bestFit="1" customWidth="1"/>
    <col min="8717" max="8717" width="4.7265625" style="150" bestFit="1" customWidth="1"/>
    <col min="8718" max="8718" width="6.26953125" style="150" bestFit="1" customWidth="1"/>
    <col min="8719" max="8719" width="4.453125" style="150" customWidth="1"/>
    <col min="8720" max="8720" width="6.26953125" style="150" bestFit="1" customWidth="1"/>
    <col min="8721" max="8721" width="4.7265625" style="150" bestFit="1" customWidth="1"/>
    <col min="8722" max="8722" width="6.26953125" style="150" bestFit="1" customWidth="1"/>
    <col min="8723" max="8723" width="4.7265625" style="150" bestFit="1" customWidth="1"/>
    <col min="8724" max="8724" width="4.6328125" style="150" customWidth="1"/>
    <col min="8725" max="8725" width="8.7265625" style="150"/>
    <col min="8726" max="8726" width="4.6328125" style="150" customWidth="1"/>
    <col min="8727" max="8727" width="8.7265625" style="150"/>
    <col min="8728" max="8728" width="4.6328125" style="150" customWidth="1"/>
    <col min="8729" max="8729" width="8.7265625" style="150"/>
    <col min="8730" max="8730" width="4.6328125" style="150" customWidth="1"/>
    <col min="8731" max="8731" width="8.7265625" style="150"/>
    <col min="8732" max="8732" width="4.6328125" style="150" customWidth="1"/>
    <col min="8733" max="8960" width="8.7265625" style="150"/>
    <col min="8961" max="8961" width="5.6328125" style="150" customWidth="1"/>
    <col min="8962" max="8962" width="3" style="150" customWidth="1"/>
    <col min="8963" max="8963" width="15.36328125" style="150" customWidth="1"/>
    <col min="8964" max="8964" width="7.26953125" style="150" bestFit="1" customWidth="1"/>
    <col min="8965" max="8965" width="6.26953125" style="150" bestFit="1" customWidth="1"/>
    <col min="8966" max="8966" width="4.7265625" style="150" bestFit="1" customWidth="1"/>
    <col min="8967" max="8967" width="6.26953125" style="150" bestFit="1" customWidth="1"/>
    <col min="8968" max="8968" width="4.7265625" style="150" bestFit="1" customWidth="1"/>
    <col min="8969" max="8969" width="6.26953125" style="150" bestFit="1" customWidth="1"/>
    <col min="8970" max="8970" width="4.7265625" style="150" bestFit="1" customWidth="1"/>
    <col min="8971" max="8971" width="6.08984375" style="150" customWidth="1"/>
    <col min="8972" max="8972" width="6.26953125" style="150" bestFit="1" customWidth="1"/>
    <col min="8973" max="8973" width="4.7265625" style="150" bestFit="1" customWidth="1"/>
    <col min="8974" max="8974" width="6.26953125" style="150" bestFit="1" customWidth="1"/>
    <col min="8975" max="8975" width="4.453125" style="150" customWidth="1"/>
    <col min="8976" max="8976" width="6.26953125" style="150" bestFit="1" customWidth="1"/>
    <col min="8977" max="8977" width="4.7265625" style="150" bestFit="1" customWidth="1"/>
    <col min="8978" max="8978" width="6.26953125" style="150" bestFit="1" customWidth="1"/>
    <col min="8979" max="8979" width="4.7265625" style="150" bestFit="1" customWidth="1"/>
    <col min="8980" max="8980" width="4.6328125" style="150" customWidth="1"/>
    <col min="8981" max="8981" width="8.7265625" style="150"/>
    <col min="8982" max="8982" width="4.6328125" style="150" customWidth="1"/>
    <col min="8983" max="8983" width="8.7265625" style="150"/>
    <col min="8984" max="8984" width="4.6328125" style="150" customWidth="1"/>
    <col min="8985" max="8985" width="8.7265625" style="150"/>
    <col min="8986" max="8986" width="4.6328125" style="150" customWidth="1"/>
    <col min="8987" max="8987" width="8.7265625" style="150"/>
    <col min="8988" max="8988" width="4.6328125" style="150" customWidth="1"/>
    <col min="8989" max="9216" width="8.7265625" style="150"/>
    <col min="9217" max="9217" width="5.6328125" style="150" customWidth="1"/>
    <col min="9218" max="9218" width="3" style="150" customWidth="1"/>
    <col min="9219" max="9219" width="15.36328125" style="150" customWidth="1"/>
    <col min="9220" max="9220" width="7.26953125" style="150" bestFit="1" customWidth="1"/>
    <col min="9221" max="9221" width="6.26953125" style="150" bestFit="1" customWidth="1"/>
    <col min="9222" max="9222" width="4.7265625" style="150" bestFit="1" customWidth="1"/>
    <col min="9223" max="9223" width="6.26953125" style="150" bestFit="1" customWidth="1"/>
    <col min="9224" max="9224" width="4.7265625" style="150" bestFit="1" customWidth="1"/>
    <col min="9225" max="9225" width="6.26953125" style="150" bestFit="1" customWidth="1"/>
    <col min="9226" max="9226" width="4.7265625" style="150" bestFit="1" customWidth="1"/>
    <col min="9227" max="9227" width="6.08984375" style="150" customWidth="1"/>
    <col min="9228" max="9228" width="6.26953125" style="150" bestFit="1" customWidth="1"/>
    <col min="9229" max="9229" width="4.7265625" style="150" bestFit="1" customWidth="1"/>
    <col min="9230" max="9230" width="6.26953125" style="150" bestFit="1" customWidth="1"/>
    <col min="9231" max="9231" width="4.453125" style="150" customWidth="1"/>
    <col min="9232" max="9232" width="6.26953125" style="150" bestFit="1" customWidth="1"/>
    <col min="9233" max="9233" width="4.7265625" style="150" bestFit="1" customWidth="1"/>
    <col min="9234" max="9234" width="6.26953125" style="150" bestFit="1" customWidth="1"/>
    <col min="9235" max="9235" width="4.7265625" style="150" bestFit="1" customWidth="1"/>
    <col min="9236" max="9236" width="4.6328125" style="150" customWidth="1"/>
    <col min="9237" max="9237" width="8.7265625" style="150"/>
    <col min="9238" max="9238" width="4.6328125" style="150" customWidth="1"/>
    <col min="9239" max="9239" width="8.7265625" style="150"/>
    <col min="9240" max="9240" width="4.6328125" style="150" customWidth="1"/>
    <col min="9241" max="9241" width="8.7265625" style="150"/>
    <col min="9242" max="9242" width="4.6328125" style="150" customWidth="1"/>
    <col min="9243" max="9243" width="8.7265625" style="150"/>
    <col min="9244" max="9244" width="4.6328125" style="150" customWidth="1"/>
    <col min="9245" max="9472" width="8.7265625" style="150"/>
    <col min="9473" max="9473" width="5.6328125" style="150" customWidth="1"/>
    <col min="9474" max="9474" width="3" style="150" customWidth="1"/>
    <col min="9475" max="9475" width="15.36328125" style="150" customWidth="1"/>
    <col min="9476" max="9476" width="7.26953125" style="150" bestFit="1" customWidth="1"/>
    <col min="9477" max="9477" width="6.26953125" style="150" bestFit="1" customWidth="1"/>
    <col min="9478" max="9478" width="4.7265625" style="150" bestFit="1" customWidth="1"/>
    <col min="9479" max="9479" width="6.26953125" style="150" bestFit="1" customWidth="1"/>
    <col min="9480" max="9480" width="4.7265625" style="150" bestFit="1" customWidth="1"/>
    <col min="9481" max="9481" width="6.26953125" style="150" bestFit="1" customWidth="1"/>
    <col min="9482" max="9482" width="4.7265625" style="150" bestFit="1" customWidth="1"/>
    <col min="9483" max="9483" width="6.08984375" style="150" customWidth="1"/>
    <col min="9484" max="9484" width="6.26953125" style="150" bestFit="1" customWidth="1"/>
    <col min="9485" max="9485" width="4.7265625" style="150" bestFit="1" customWidth="1"/>
    <col min="9486" max="9486" width="6.26953125" style="150" bestFit="1" customWidth="1"/>
    <col min="9487" max="9487" width="4.453125" style="150" customWidth="1"/>
    <col min="9488" max="9488" width="6.26953125" style="150" bestFit="1" customWidth="1"/>
    <col min="9489" max="9489" width="4.7265625" style="150" bestFit="1" customWidth="1"/>
    <col min="9490" max="9490" width="6.26953125" style="150" bestFit="1" customWidth="1"/>
    <col min="9491" max="9491" width="4.7265625" style="150" bestFit="1" customWidth="1"/>
    <col min="9492" max="9492" width="4.6328125" style="150" customWidth="1"/>
    <col min="9493" max="9493" width="8.7265625" style="150"/>
    <col min="9494" max="9494" width="4.6328125" style="150" customWidth="1"/>
    <col min="9495" max="9495" width="8.7265625" style="150"/>
    <col min="9496" max="9496" width="4.6328125" style="150" customWidth="1"/>
    <col min="9497" max="9497" width="8.7265625" style="150"/>
    <col min="9498" max="9498" width="4.6328125" style="150" customWidth="1"/>
    <col min="9499" max="9499" width="8.7265625" style="150"/>
    <col min="9500" max="9500" width="4.6328125" style="150" customWidth="1"/>
    <col min="9501" max="9728" width="8.7265625" style="150"/>
    <col min="9729" max="9729" width="5.6328125" style="150" customWidth="1"/>
    <col min="9730" max="9730" width="3" style="150" customWidth="1"/>
    <col min="9731" max="9731" width="15.36328125" style="150" customWidth="1"/>
    <col min="9732" max="9732" width="7.26953125" style="150" bestFit="1" customWidth="1"/>
    <col min="9733" max="9733" width="6.26953125" style="150" bestFit="1" customWidth="1"/>
    <col min="9734" max="9734" width="4.7265625" style="150" bestFit="1" customWidth="1"/>
    <col min="9735" max="9735" width="6.26953125" style="150" bestFit="1" customWidth="1"/>
    <col min="9736" max="9736" width="4.7265625" style="150" bestFit="1" customWidth="1"/>
    <col min="9737" max="9737" width="6.26953125" style="150" bestFit="1" customWidth="1"/>
    <col min="9738" max="9738" width="4.7265625" style="150" bestFit="1" customWidth="1"/>
    <col min="9739" max="9739" width="6.08984375" style="150" customWidth="1"/>
    <col min="9740" max="9740" width="6.26953125" style="150" bestFit="1" customWidth="1"/>
    <col min="9741" max="9741" width="4.7265625" style="150" bestFit="1" customWidth="1"/>
    <col min="9742" max="9742" width="6.26953125" style="150" bestFit="1" customWidth="1"/>
    <col min="9743" max="9743" width="4.453125" style="150" customWidth="1"/>
    <col min="9744" max="9744" width="6.26953125" style="150" bestFit="1" customWidth="1"/>
    <col min="9745" max="9745" width="4.7265625" style="150" bestFit="1" customWidth="1"/>
    <col min="9746" max="9746" width="6.26953125" style="150" bestFit="1" customWidth="1"/>
    <col min="9747" max="9747" width="4.7265625" style="150" bestFit="1" customWidth="1"/>
    <col min="9748" max="9748" width="4.6328125" style="150" customWidth="1"/>
    <col min="9749" max="9749" width="8.7265625" style="150"/>
    <col min="9750" max="9750" width="4.6328125" style="150" customWidth="1"/>
    <col min="9751" max="9751" width="8.7265625" style="150"/>
    <col min="9752" max="9752" width="4.6328125" style="150" customWidth="1"/>
    <col min="9753" max="9753" width="8.7265625" style="150"/>
    <col min="9754" max="9754" width="4.6328125" style="150" customWidth="1"/>
    <col min="9755" max="9755" width="8.7265625" style="150"/>
    <col min="9756" max="9756" width="4.6328125" style="150" customWidth="1"/>
    <col min="9757" max="9984" width="8.7265625" style="150"/>
    <col min="9985" max="9985" width="5.6328125" style="150" customWidth="1"/>
    <col min="9986" max="9986" width="3" style="150" customWidth="1"/>
    <col min="9987" max="9987" width="15.36328125" style="150" customWidth="1"/>
    <col min="9988" max="9988" width="7.26953125" style="150" bestFit="1" customWidth="1"/>
    <col min="9989" max="9989" width="6.26953125" style="150" bestFit="1" customWidth="1"/>
    <col min="9990" max="9990" width="4.7265625" style="150" bestFit="1" customWidth="1"/>
    <col min="9991" max="9991" width="6.26953125" style="150" bestFit="1" customWidth="1"/>
    <col min="9992" max="9992" width="4.7265625" style="150" bestFit="1" customWidth="1"/>
    <col min="9993" max="9993" width="6.26953125" style="150" bestFit="1" customWidth="1"/>
    <col min="9994" max="9994" width="4.7265625" style="150" bestFit="1" customWidth="1"/>
    <col min="9995" max="9995" width="6.08984375" style="150" customWidth="1"/>
    <col min="9996" max="9996" width="6.26953125" style="150" bestFit="1" customWidth="1"/>
    <col min="9997" max="9997" width="4.7265625" style="150" bestFit="1" customWidth="1"/>
    <col min="9998" max="9998" width="6.26953125" style="150" bestFit="1" customWidth="1"/>
    <col min="9999" max="9999" width="4.453125" style="150" customWidth="1"/>
    <col min="10000" max="10000" width="6.26953125" style="150" bestFit="1" customWidth="1"/>
    <col min="10001" max="10001" width="4.7265625" style="150" bestFit="1" customWidth="1"/>
    <col min="10002" max="10002" width="6.26953125" style="150" bestFit="1" customWidth="1"/>
    <col min="10003" max="10003" width="4.7265625" style="150" bestFit="1" customWidth="1"/>
    <col min="10004" max="10004" width="4.6328125" style="150" customWidth="1"/>
    <col min="10005" max="10005" width="8.7265625" style="150"/>
    <col min="10006" max="10006" width="4.6328125" style="150" customWidth="1"/>
    <col min="10007" max="10007" width="8.7265625" style="150"/>
    <col min="10008" max="10008" width="4.6328125" style="150" customWidth="1"/>
    <col min="10009" max="10009" width="8.7265625" style="150"/>
    <col min="10010" max="10010" width="4.6328125" style="150" customWidth="1"/>
    <col min="10011" max="10011" width="8.7265625" style="150"/>
    <col min="10012" max="10012" width="4.6328125" style="150" customWidth="1"/>
    <col min="10013" max="10240" width="8.7265625" style="150"/>
    <col min="10241" max="10241" width="5.6328125" style="150" customWidth="1"/>
    <col min="10242" max="10242" width="3" style="150" customWidth="1"/>
    <col min="10243" max="10243" width="15.36328125" style="150" customWidth="1"/>
    <col min="10244" max="10244" width="7.26953125" style="150" bestFit="1" customWidth="1"/>
    <col min="10245" max="10245" width="6.26953125" style="150" bestFit="1" customWidth="1"/>
    <col min="10246" max="10246" width="4.7265625" style="150" bestFit="1" customWidth="1"/>
    <col min="10247" max="10247" width="6.26953125" style="150" bestFit="1" customWidth="1"/>
    <col min="10248" max="10248" width="4.7265625" style="150" bestFit="1" customWidth="1"/>
    <col min="10249" max="10249" width="6.26953125" style="150" bestFit="1" customWidth="1"/>
    <col min="10250" max="10250" width="4.7265625" style="150" bestFit="1" customWidth="1"/>
    <col min="10251" max="10251" width="6.08984375" style="150" customWidth="1"/>
    <col min="10252" max="10252" width="6.26953125" style="150" bestFit="1" customWidth="1"/>
    <col min="10253" max="10253" width="4.7265625" style="150" bestFit="1" customWidth="1"/>
    <col min="10254" max="10254" width="6.26953125" style="150" bestFit="1" customWidth="1"/>
    <col min="10255" max="10255" width="4.453125" style="150" customWidth="1"/>
    <col min="10256" max="10256" width="6.26953125" style="150" bestFit="1" customWidth="1"/>
    <col min="10257" max="10257" width="4.7265625" style="150" bestFit="1" customWidth="1"/>
    <col min="10258" max="10258" width="6.26953125" style="150" bestFit="1" customWidth="1"/>
    <col min="10259" max="10259" width="4.7265625" style="150" bestFit="1" customWidth="1"/>
    <col min="10260" max="10260" width="4.6328125" style="150" customWidth="1"/>
    <col min="10261" max="10261" width="8.7265625" style="150"/>
    <col min="10262" max="10262" width="4.6328125" style="150" customWidth="1"/>
    <col min="10263" max="10263" width="8.7265625" style="150"/>
    <col min="10264" max="10264" width="4.6328125" style="150" customWidth="1"/>
    <col min="10265" max="10265" width="8.7265625" style="150"/>
    <col min="10266" max="10266" width="4.6328125" style="150" customWidth="1"/>
    <col min="10267" max="10267" width="8.7265625" style="150"/>
    <col min="10268" max="10268" width="4.6328125" style="150" customWidth="1"/>
    <col min="10269" max="10496" width="8.7265625" style="150"/>
    <col min="10497" max="10497" width="5.6328125" style="150" customWidth="1"/>
    <col min="10498" max="10498" width="3" style="150" customWidth="1"/>
    <col min="10499" max="10499" width="15.36328125" style="150" customWidth="1"/>
    <col min="10500" max="10500" width="7.26953125" style="150" bestFit="1" customWidth="1"/>
    <col min="10501" max="10501" width="6.26953125" style="150" bestFit="1" customWidth="1"/>
    <col min="10502" max="10502" width="4.7265625" style="150" bestFit="1" customWidth="1"/>
    <col min="10503" max="10503" width="6.26953125" style="150" bestFit="1" customWidth="1"/>
    <col min="10504" max="10504" width="4.7265625" style="150" bestFit="1" customWidth="1"/>
    <col min="10505" max="10505" width="6.26953125" style="150" bestFit="1" customWidth="1"/>
    <col min="10506" max="10506" width="4.7265625" style="150" bestFit="1" customWidth="1"/>
    <col min="10507" max="10507" width="6.08984375" style="150" customWidth="1"/>
    <col min="10508" max="10508" width="6.26953125" style="150" bestFit="1" customWidth="1"/>
    <col min="10509" max="10509" width="4.7265625" style="150" bestFit="1" customWidth="1"/>
    <col min="10510" max="10510" width="6.26953125" style="150" bestFit="1" customWidth="1"/>
    <col min="10511" max="10511" width="4.453125" style="150" customWidth="1"/>
    <col min="10512" max="10512" width="6.26953125" style="150" bestFit="1" customWidth="1"/>
    <col min="10513" max="10513" width="4.7265625" style="150" bestFit="1" customWidth="1"/>
    <col min="10514" max="10514" width="6.26953125" style="150" bestFit="1" customWidth="1"/>
    <col min="10515" max="10515" width="4.7265625" style="150" bestFit="1" customWidth="1"/>
    <col min="10516" max="10516" width="4.6328125" style="150" customWidth="1"/>
    <col min="10517" max="10517" width="8.7265625" style="150"/>
    <col min="10518" max="10518" width="4.6328125" style="150" customWidth="1"/>
    <col min="10519" max="10519" width="8.7265625" style="150"/>
    <col min="10520" max="10520" width="4.6328125" style="150" customWidth="1"/>
    <col min="10521" max="10521" width="8.7265625" style="150"/>
    <col min="10522" max="10522" width="4.6328125" style="150" customWidth="1"/>
    <col min="10523" max="10523" width="8.7265625" style="150"/>
    <col min="10524" max="10524" width="4.6328125" style="150" customWidth="1"/>
    <col min="10525" max="10752" width="8.7265625" style="150"/>
    <col min="10753" max="10753" width="5.6328125" style="150" customWidth="1"/>
    <col min="10754" max="10754" width="3" style="150" customWidth="1"/>
    <col min="10755" max="10755" width="15.36328125" style="150" customWidth="1"/>
    <col min="10756" max="10756" width="7.26953125" style="150" bestFit="1" customWidth="1"/>
    <col min="10757" max="10757" width="6.26953125" style="150" bestFit="1" customWidth="1"/>
    <col min="10758" max="10758" width="4.7265625" style="150" bestFit="1" customWidth="1"/>
    <col min="10759" max="10759" width="6.26953125" style="150" bestFit="1" customWidth="1"/>
    <col min="10760" max="10760" width="4.7265625" style="150" bestFit="1" customWidth="1"/>
    <col min="10761" max="10761" width="6.26953125" style="150" bestFit="1" customWidth="1"/>
    <col min="10762" max="10762" width="4.7265625" style="150" bestFit="1" customWidth="1"/>
    <col min="10763" max="10763" width="6.08984375" style="150" customWidth="1"/>
    <col min="10764" max="10764" width="6.26953125" style="150" bestFit="1" customWidth="1"/>
    <col min="10765" max="10765" width="4.7265625" style="150" bestFit="1" customWidth="1"/>
    <col min="10766" max="10766" width="6.26953125" style="150" bestFit="1" customWidth="1"/>
    <col min="10767" max="10767" width="4.453125" style="150" customWidth="1"/>
    <col min="10768" max="10768" width="6.26953125" style="150" bestFit="1" customWidth="1"/>
    <col min="10769" max="10769" width="4.7265625" style="150" bestFit="1" customWidth="1"/>
    <col min="10770" max="10770" width="6.26953125" style="150" bestFit="1" customWidth="1"/>
    <col min="10771" max="10771" width="4.7265625" style="150" bestFit="1" customWidth="1"/>
    <col min="10772" max="10772" width="4.6328125" style="150" customWidth="1"/>
    <col min="10773" max="10773" width="8.7265625" style="150"/>
    <col min="10774" max="10774" width="4.6328125" style="150" customWidth="1"/>
    <col min="10775" max="10775" width="8.7265625" style="150"/>
    <col min="10776" max="10776" width="4.6328125" style="150" customWidth="1"/>
    <col min="10777" max="10777" width="8.7265625" style="150"/>
    <col min="10778" max="10778" width="4.6328125" style="150" customWidth="1"/>
    <col min="10779" max="10779" width="8.7265625" style="150"/>
    <col min="10780" max="10780" width="4.6328125" style="150" customWidth="1"/>
    <col min="10781" max="11008" width="8.7265625" style="150"/>
    <col min="11009" max="11009" width="5.6328125" style="150" customWidth="1"/>
    <col min="11010" max="11010" width="3" style="150" customWidth="1"/>
    <col min="11011" max="11011" width="15.36328125" style="150" customWidth="1"/>
    <col min="11012" max="11012" width="7.26953125" style="150" bestFit="1" customWidth="1"/>
    <col min="11013" max="11013" width="6.26953125" style="150" bestFit="1" customWidth="1"/>
    <col min="11014" max="11014" width="4.7265625" style="150" bestFit="1" customWidth="1"/>
    <col min="11015" max="11015" width="6.26953125" style="150" bestFit="1" customWidth="1"/>
    <col min="11016" max="11016" width="4.7265625" style="150" bestFit="1" customWidth="1"/>
    <col min="11017" max="11017" width="6.26953125" style="150" bestFit="1" customWidth="1"/>
    <col min="11018" max="11018" width="4.7265625" style="150" bestFit="1" customWidth="1"/>
    <col min="11019" max="11019" width="6.08984375" style="150" customWidth="1"/>
    <col min="11020" max="11020" width="6.26953125" style="150" bestFit="1" customWidth="1"/>
    <col min="11021" max="11021" width="4.7265625" style="150" bestFit="1" customWidth="1"/>
    <col min="11022" max="11022" width="6.26953125" style="150" bestFit="1" customWidth="1"/>
    <col min="11023" max="11023" width="4.453125" style="150" customWidth="1"/>
    <col min="11024" max="11024" width="6.26953125" style="150" bestFit="1" customWidth="1"/>
    <col min="11025" max="11025" width="4.7265625" style="150" bestFit="1" customWidth="1"/>
    <col min="11026" max="11026" width="6.26953125" style="150" bestFit="1" customWidth="1"/>
    <col min="11027" max="11027" width="4.7265625" style="150" bestFit="1" customWidth="1"/>
    <col min="11028" max="11028" width="4.6328125" style="150" customWidth="1"/>
    <col min="11029" max="11029" width="8.7265625" style="150"/>
    <col min="11030" max="11030" width="4.6328125" style="150" customWidth="1"/>
    <col min="11031" max="11031" width="8.7265625" style="150"/>
    <col min="11032" max="11032" width="4.6328125" style="150" customWidth="1"/>
    <col min="11033" max="11033" width="8.7265625" style="150"/>
    <col min="11034" max="11034" width="4.6328125" style="150" customWidth="1"/>
    <col min="11035" max="11035" width="8.7265625" style="150"/>
    <col min="11036" max="11036" width="4.6328125" style="150" customWidth="1"/>
    <col min="11037" max="11264" width="8.7265625" style="150"/>
    <col min="11265" max="11265" width="5.6328125" style="150" customWidth="1"/>
    <col min="11266" max="11266" width="3" style="150" customWidth="1"/>
    <col min="11267" max="11267" width="15.36328125" style="150" customWidth="1"/>
    <col min="11268" max="11268" width="7.26953125" style="150" bestFit="1" customWidth="1"/>
    <col min="11269" max="11269" width="6.26953125" style="150" bestFit="1" customWidth="1"/>
    <col min="11270" max="11270" width="4.7265625" style="150" bestFit="1" customWidth="1"/>
    <col min="11271" max="11271" width="6.26953125" style="150" bestFit="1" customWidth="1"/>
    <col min="11272" max="11272" width="4.7265625" style="150" bestFit="1" customWidth="1"/>
    <col min="11273" max="11273" width="6.26953125" style="150" bestFit="1" customWidth="1"/>
    <col min="11274" max="11274" width="4.7265625" style="150" bestFit="1" customWidth="1"/>
    <col min="11275" max="11275" width="6.08984375" style="150" customWidth="1"/>
    <col min="11276" max="11276" width="6.26953125" style="150" bestFit="1" customWidth="1"/>
    <col min="11277" max="11277" width="4.7265625" style="150" bestFit="1" customWidth="1"/>
    <col min="11278" max="11278" width="6.26953125" style="150" bestFit="1" customWidth="1"/>
    <col min="11279" max="11279" width="4.453125" style="150" customWidth="1"/>
    <col min="11280" max="11280" width="6.26953125" style="150" bestFit="1" customWidth="1"/>
    <col min="11281" max="11281" width="4.7265625" style="150" bestFit="1" customWidth="1"/>
    <col min="11282" max="11282" width="6.26953125" style="150" bestFit="1" customWidth="1"/>
    <col min="11283" max="11283" width="4.7265625" style="150" bestFit="1" customWidth="1"/>
    <col min="11284" max="11284" width="4.6328125" style="150" customWidth="1"/>
    <col min="11285" max="11285" width="8.7265625" style="150"/>
    <col min="11286" max="11286" width="4.6328125" style="150" customWidth="1"/>
    <col min="11287" max="11287" width="8.7265625" style="150"/>
    <col min="11288" max="11288" width="4.6328125" style="150" customWidth="1"/>
    <col min="11289" max="11289" width="8.7265625" style="150"/>
    <col min="11290" max="11290" width="4.6328125" style="150" customWidth="1"/>
    <col min="11291" max="11291" width="8.7265625" style="150"/>
    <col min="11292" max="11292" width="4.6328125" style="150" customWidth="1"/>
    <col min="11293" max="11520" width="8.7265625" style="150"/>
    <col min="11521" max="11521" width="5.6328125" style="150" customWidth="1"/>
    <col min="11522" max="11522" width="3" style="150" customWidth="1"/>
    <col min="11523" max="11523" width="15.36328125" style="150" customWidth="1"/>
    <col min="11524" max="11524" width="7.26953125" style="150" bestFit="1" customWidth="1"/>
    <col min="11525" max="11525" width="6.26953125" style="150" bestFit="1" customWidth="1"/>
    <col min="11526" max="11526" width="4.7265625" style="150" bestFit="1" customWidth="1"/>
    <col min="11527" max="11527" width="6.26953125" style="150" bestFit="1" customWidth="1"/>
    <col min="11528" max="11528" width="4.7265625" style="150" bestFit="1" customWidth="1"/>
    <col min="11529" max="11529" width="6.26953125" style="150" bestFit="1" customWidth="1"/>
    <col min="11530" max="11530" width="4.7265625" style="150" bestFit="1" customWidth="1"/>
    <col min="11531" max="11531" width="6.08984375" style="150" customWidth="1"/>
    <col min="11532" max="11532" width="6.26953125" style="150" bestFit="1" customWidth="1"/>
    <col min="11533" max="11533" width="4.7265625" style="150" bestFit="1" customWidth="1"/>
    <col min="11534" max="11534" width="6.26953125" style="150" bestFit="1" customWidth="1"/>
    <col min="11535" max="11535" width="4.453125" style="150" customWidth="1"/>
    <col min="11536" max="11536" width="6.26953125" style="150" bestFit="1" customWidth="1"/>
    <col min="11537" max="11537" width="4.7265625" style="150" bestFit="1" customWidth="1"/>
    <col min="11538" max="11538" width="6.26953125" style="150" bestFit="1" customWidth="1"/>
    <col min="11539" max="11539" width="4.7265625" style="150" bestFit="1" customWidth="1"/>
    <col min="11540" max="11540" width="4.6328125" style="150" customWidth="1"/>
    <col min="11541" max="11541" width="8.7265625" style="150"/>
    <col min="11542" max="11542" width="4.6328125" style="150" customWidth="1"/>
    <col min="11543" max="11543" width="8.7265625" style="150"/>
    <col min="11544" max="11544" width="4.6328125" style="150" customWidth="1"/>
    <col min="11545" max="11545" width="8.7265625" style="150"/>
    <col min="11546" max="11546" width="4.6328125" style="150" customWidth="1"/>
    <col min="11547" max="11547" width="8.7265625" style="150"/>
    <col min="11548" max="11548" width="4.6328125" style="150" customWidth="1"/>
    <col min="11549" max="11776" width="8.7265625" style="150"/>
    <col min="11777" max="11777" width="5.6328125" style="150" customWidth="1"/>
    <col min="11778" max="11778" width="3" style="150" customWidth="1"/>
    <col min="11779" max="11779" width="15.36328125" style="150" customWidth="1"/>
    <col min="11780" max="11780" width="7.26953125" style="150" bestFit="1" customWidth="1"/>
    <col min="11781" max="11781" width="6.26953125" style="150" bestFit="1" customWidth="1"/>
    <col min="11782" max="11782" width="4.7265625" style="150" bestFit="1" customWidth="1"/>
    <col min="11783" max="11783" width="6.26953125" style="150" bestFit="1" customWidth="1"/>
    <col min="11784" max="11784" width="4.7265625" style="150" bestFit="1" customWidth="1"/>
    <col min="11785" max="11785" width="6.26953125" style="150" bestFit="1" customWidth="1"/>
    <col min="11786" max="11786" width="4.7265625" style="150" bestFit="1" customWidth="1"/>
    <col min="11787" max="11787" width="6.08984375" style="150" customWidth="1"/>
    <col min="11788" max="11788" width="6.26953125" style="150" bestFit="1" customWidth="1"/>
    <col min="11789" max="11789" width="4.7265625" style="150" bestFit="1" customWidth="1"/>
    <col min="11790" max="11790" width="6.26953125" style="150" bestFit="1" customWidth="1"/>
    <col min="11791" max="11791" width="4.453125" style="150" customWidth="1"/>
    <col min="11792" max="11792" width="6.26953125" style="150" bestFit="1" customWidth="1"/>
    <col min="11793" max="11793" width="4.7265625" style="150" bestFit="1" customWidth="1"/>
    <col min="11794" max="11794" width="6.26953125" style="150" bestFit="1" customWidth="1"/>
    <col min="11795" max="11795" width="4.7265625" style="150" bestFit="1" customWidth="1"/>
    <col min="11796" max="11796" width="4.6328125" style="150" customWidth="1"/>
    <col min="11797" max="11797" width="8.7265625" style="150"/>
    <col min="11798" max="11798" width="4.6328125" style="150" customWidth="1"/>
    <col min="11799" max="11799" width="8.7265625" style="150"/>
    <col min="11800" max="11800" width="4.6328125" style="150" customWidth="1"/>
    <col min="11801" max="11801" width="8.7265625" style="150"/>
    <col min="11802" max="11802" width="4.6328125" style="150" customWidth="1"/>
    <col min="11803" max="11803" width="8.7265625" style="150"/>
    <col min="11804" max="11804" width="4.6328125" style="150" customWidth="1"/>
    <col min="11805" max="12032" width="8.7265625" style="150"/>
    <col min="12033" max="12033" width="5.6328125" style="150" customWidth="1"/>
    <col min="12034" max="12034" width="3" style="150" customWidth="1"/>
    <col min="12035" max="12035" width="15.36328125" style="150" customWidth="1"/>
    <col min="12036" max="12036" width="7.26953125" style="150" bestFit="1" customWidth="1"/>
    <col min="12037" max="12037" width="6.26953125" style="150" bestFit="1" customWidth="1"/>
    <col min="12038" max="12038" width="4.7265625" style="150" bestFit="1" customWidth="1"/>
    <col min="12039" max="12039" width="6.26953125" style="150" bestFit="1" customWidth="1"/>
    <col min="12040" max="12040" width="4.7265625" style="150" bestFit="1" customWidth="1"/>
    <col min="12041" max="12041" width="6.26953125" style="150" bestFit="1" customWidth="1"/>
    <col min="12042" max="12042" width="4.7265625" style="150" bestFit="1" customWidth="1"/>
    <col min="12043" max="12043" width="6.08984375" style="150" customWidth="1"/>
    <col min="12044" max="12044" width="6.26953125" style="150" bestFit="1" customWidth="1"/>
    <col min="12045" max="12045" width="4.7265625" style="150" bestFit="1" customWidth="1"/>
    <col min="12046" max="12046" width="6.26953125" style="150" bestFit="1" customWidth="1"/>
    <col min="12047" max="12047" width="4.453125" style="150" customWidth="1"/>
    <col min="12048" max="12048" width="6.26953125" style="150" bestFit="1" customWidth="1"/>
    <col min="12049" max="12049" width="4.7265625" style="150" bestFit="1" customWidth="1"/>
    <col min="12050" max="12050" width="6.26953125" style="150" bestFit="1" customWidth="1"/>
    <col min="12051" max="12051" width="4.7265625" style="150" bestFit="1" customWidth="1"/>
    <col min="12052" max="12052" width="4.6328125" style="150" customWidth="1"/>
    <col min="12053" max="12053" width="8.7265625" style="150"/>
    <col min="12054" max="12054" width="4.6328125" style="150" customWidth="1"/>
    <col min="12055" max="12055" width="8.7265625" style="150"/>
    <col min="12056" max="12056" width="4.6328125" style="150" customWidth="1"/>
    <col min="12057" max="12057" width="8.7265625" style="150"/>
    <col min="12058" max="12058" width="4.6328125" style="150" customWidth="1"/>
    <col min="12059" max="12059" width="8.7265625" style="150"/>
    <col min="12060" max="12060" width="4.6328125" style="150" customWidth="1"/>
    <col min="12061" max="12288" width="8.7265625" style="150"/>
    <col min="12289" max="12289" width="5.6328125" style="150" customWidth="1"/>
    <col min="12290" max="12290" width="3" style="150" customWidth="1"/>
    <col min="12291" max="12291" width="15.36328125" style="150" customWidth="1"/>
    <col min="12292" max="12292" width="7.26953125" style="150" bestFit="1" customWidth="1"/>
    <col min="12293" max="12293" width="6.26953125" style="150" bestFit="1" customWidth="1"/>
    <col min="12294" max="12294" width="4.7265625" style="150" bestFit="1" customWidth="1"/>
    <col min="12295" max="12295" width="6.26953125" style="150" bestFit="1" customWidth="1"/>
    <col min="12296" max="12296" width="4.7265625" style="150" bestFit="1" customWidth="1"/>
    <col min="12297" max="12297" width="6.26953125" style="150" bestFit="1" customWidth="1"/>
    <col min="12298" max="12298" width="4.7265625" style="150" bestFit="1" customWidth="1"/>
    <col min="12299" max="12299" width="6.08984375" style="150" customWidth="1"/>
    <col min="12300" max="12300" width="6.26953125" style="150" bestFit="1" customWidth="1"/>
    <col min="12301" max="12301" width="4.7265625" style="150" bestFit="1" customWidth="1"/>
    <col min="12302" max="12302" width="6.26953125" style="150" bestFit="1" customWidth="1"/>
    <col min="12303" max="12303" width="4.453125" style="150" customWidth="1"/>
    <col min="12304" max="12304" width="6.26953125" style="150" bestFit="1" customWidth="1"/>
    <col min="12305" max="12305" width="4.7265625" style="150" bestFit="1" customWidth="1"/>
    <col min="12306" max="12306" width="6.26953125" style="150" bestFit="1" customWidth="1"/>
    <col min="12307" max="12307" width="4.7265625" style="150" bestFit="1" customWidth="1"/>
    <col min="12308" max="12308" width="4.6328125" style="150" customWidth="1"/>
    <col min="12309" max="12309" width="8.7265625" style="150"/>
    <col min="12310" max="12310" width="4.6328125" style="150" customWidth="1"/>
    <col min="12311" max="12311" width="8.7265625" style="150"/>
    <col min="12312" max="12312" width="4.6328125" style="150" customWidth="1"/>
    <col min="12313" max="12313" width="8.7265625" style="150"/>
    <col min="12314" max="12314" width="4.6328125" style="150" customWidth="1"/>
    <col min="12315" max="12315" width="8.7265625" style="150"/>
    <col min="12316" max="12316" width="4.6328125" style="150" customWidth="1"/>
    <col min="12317" max="12544" width="8.7265625" style="150"/>
    <col min="12545" max="12545" width="5.6328125" style="150" customWidth="1"/>
    <col min="12546" max="12546" width="3" style="150" customWidth="1"/>
    <col min="12547" max="12547" width="15.36328125" style="150" customWidth="1"/>
    <col min="12548" max="12548" width="7.26953125" style="150" bestFit="1" customWidth="1"/>
    <col min="12549" max="12549" width="6.26953125" style="150" bestFit="1" customWidth="1"/>
    <col min="12550" max="12550" width="4.7265625" style="150" bestFit="1" customWidth="1"/>
    <col min="12551" max="12551" width="6.26953125" style="150" bestFit="1" customWidth="1"/>
    <col min="12552" max="12552" width="4.7265625" style="150" bestFit="1" customWidth="1"/>
    <col min="12553" max="12553" width="6.26953125" style="150" bestFit="1" customWidth="1"/>
    <col min="12554" max="12554" width="4.7265625" style="150" bestFit="1" customWidth="1"/>
    <col min="12555" max="12555" width="6.08984375" style="150" customWidth="1"/>
    <col min="12556" max="12556" width="6.26953125" style="150" bestFit="1" customWidth="1"/>
    <col min="12557" max="12557" width="4.7265625" style="150" bestFit="1" customWidth="1"/>
    <col min="12558" max="12558" width="6.26953125" style="150" bestFit="1" customWidth="1"/>
    <col min="12559" max="12559" width="4.453125" style="150" customWidth="1"/>
    <col min="12560" max="12560" width="6.26953125" style="150" bestFit="1" customWidth="1"/>
    <col min="12561" max="12561" width="4.7265625" style="150" bestFit="1" customWidth="1"/>
    <col min="12562" max="12562" width="6.26953125" style="150" bestFit="1" customWidth="1"/>
    <col min="12563" max="12563" width="4.7265625" style="150" bestFit="1" customWidth="1"/>
    <col min="12564" max="12564" width="4.6328125" style="150" customWidth="1"/>
    <col min="12565" max="12565" width="8.7265625" style="150"/>
    <col min="12566" max="12566" width="4.6328125" style="150" customWidth="1"/>
    <col min="12567" max="12567" width="8.7265625" style="150"/>
    <col min="12568" max="12568" width="4.6328125" style="150" customWidth="1"/>
    <col min="12569" max="12569" width="8.7265625" style="150"/>
    <col min="12570" max="12570" width="4.6328125" style="150" customWidth="1"/>
    <col min="12571" max="12571" width="8.7265625" style="150"/>
    <col min="12572" max="12572" width="4.6328125" style="150" customWidth="1"/>
    <col min="12573" max="12800" width="8.7265625" style="150"/>
    <col min="12801" max="12801" width="5.6328125" style="150" customWidth="1"/>
    <col min="12802" max="12802" width="3" style="150" customWidth="1"/>
    <col min="12803" max="12803" width="15.36328125" style="150" customWidth="1"/>
    <col min="12804" max="12804" width="7.26953125" style="150" bestFit="1" customWidth="1"/>
    <col min="12805" max="12805" width="6.26953125" style="150" bestFit="1" customWidth="1"/>
    <col min="12806" max="12806" width="4.7265625" style="150" bestFit="1" customWidth="1"/>
    <col min="12807" max="12807" width="6.26953125" style="150" bestFit="1" customWidth="1"/>
    <col min="12808" max="12808" width="4.7265625" style="150" bestFit="1" customWidth="1"/>
    <col min="12809" max="12809" width="6.26953125" style="150" bestFit="1" customWidth="1"/>
    <col min="12810" max="12810" width="4.7265625" style="150" bestFit="1" customWidth="1"/>
    <col min="12811" max="12811" width="6.08984375" style="150" customWidth="1"/>
    <col min="12812" max="12812" width="6.26953125" style="150" bestFit="1" customWidth="1"/>
    <col min="12813" max="12813" width="4.7265625" style="150" bestFit="1" customWidth="1"/>
    <col min="12814" max="12814" width="6.26953125" style="150" bestFit="1" customWidth="1"/>
    <col min="12815" max="12815" width="4.453125" style="150" customWidth="1"/>
    <col min="12816" max="12816" width="6.26953125" style="150" bestFit="1" customWidth="1"/>
    <col min="12817" max="12817" width="4.7265625" style="150" bestFit="1" customWidth="1"/>
    <col min="12818" max="12818" width="6.26953125" style="150" bestFit="1" customWidth="1"/>
    <col min="12819" max="12819" width="4.7265625" style="150" bestFit="1" customWidth="1"/>
    <col min="12820" max="12820" width="4.6328125" style="150" customWidth="1"/>
    <col min="12821" max="12821" width="8.7265625" style="150"/>
    <col min="12822" max="12822" width="4.6328125" style="150" customWidth="1"/>
    <col min="12823" max="12823" width="8.7265625" style="150"/>
    <col min="12824" max="12824" width="4.6328125" style="150" customWidth="1"/>
    <col min="12825" max="12825" width="8.7265625" style="150"/>
    <col min="12826" max="12826" width="4.6328125" style="150" customWidth="1"/>
    <col min="12827" max="12827" width="8.7265625" style="150"/>
    <col min="12828" max="12828" width="4.6328125" style="150" customWidth="1"/>
    <col min="12829" max="13056" width="8.7265625" style="150"/>
    <col min="13057" max="13057" width="5.6328125" style="150" customWidth="1"/>
    <col min="13058" max="13058" width="3" style="150" customWidth="1"/>
    <col min="13059" max="13059" width="15.36328125" style="150" customWidth="1"/>
    <col min="13060" max="13060" width="7.26953125" style="150" bestFit="1" customWidth="1"/>
    <col min="13061" max="13061" width="6.26953125" style="150" bestFit="1" customWidth="1"/>
    <col min="13062" max="13062" width="4.7265625" style="150" bestFit="1" customWidth="1"/>
    <col min="13063" max="13063" width="6.26953125" style="150" bestFit="1" customWidth="1"/>
    <col min="13064" max="13064" width="4.7265625" style="150" bestFit="1" customWidth="1"/>
    <col min="13065" max="13065" width="6.26953125" style="150" bestFit="1" customWidth="1"/>
    <col min="13066" max="13066" width="4.7265625" style="150" bestFit="1" customWidth="1"/>
    <col min="13067" max="13067" width="6.08984375" style="150" customWidth="1"/>
    <col min="13068" max="13068" width="6.26953125" style="150" bestFit="1" customWidth="1"/>
    <col min="13069" max="13069" width="4.7265625" style="150" bestFit="1" customWidth="1"/>
    <col min="13070" max="13070" width="6.26953125" style="150" bestFit="1" customWidth="1"/>
    <col min="13071" max="13071" width="4.453125" style="150" customWidth="1"/>
    <col min="13072" max="13072" width="6.26953125" style="150" bestFit="1" customWidth="1"/>
    <col min="13073" max="13073" width="4.7265625" style="150" bestFit="1" customWidth="1"/>
    <col min="13074" max="13074" width="6.26953125" style="150" bestFit="1" customWidth="1"/>
    <col min="13075" max="13075" width="4.7265625" style="150" bestFit="1" customWidth="1"/>
    <col min="13076" max="13076" width="4.6328125" style="150" customWidth="1"/>
    <col min="13077" max="13077" width="8.7265625" style="150"/>
    <col min="13078" max="13078" width="4.6328125" style="150" customWidth="1"/>
    <col min="13079" max="13079" width="8.7265625" style="150"/>
    <col min="13080" max="13080" width="4.6328125" style="150" customWidth="1"/>
    <col min="13081" max="13081" width="8.7265625" style="150"/>
    <col min="13082" max="13082" width="4.6328125" style="150" customWidth="1"/>
    <col min="13083" max="13083" width="8.7265625" style="150"/>
    <col min="13084" max="13084" width="4.6328125" style="150" customWidth="1"/>
    <col min="13085" max="13312" width="8.7265625" style="150"/>
    <col min="13313" max="13313" width="5.6328125" style="150" customWidth="1"/>
    <col min="13314" max="13314" width="3" style="150" customWidth="1"/>
    <col min="13315" max="13315" width="15.36328125" style="150" customWidth="1"/>
    <col min="13316" max="13316" width="7.26953125" style="150" bestFit="1" customWidth="1"/>
    <col min="13317" max="13317" width="6.26953125" style="150" bestFit="1" customWidth="1"/>
    <col min="13318" max="13318" width="4.7265625" style="150" bestFit="1" customWidth="1"/>
    <col min="13319" max="13319" width="6.26953125" style="150" bestFit="1" customWidth="1"/>
    <col min="13320" max="13320" width="4.7265625" style="150" bestFit="1" customWidth="1"/>
    <col min="13321" max="13321" width="6.26953125" style="150" bestFit="1" customWidth="1"/>
    <col min="13322" max="13322" width="4.7265625" style="150" bestFit="1" customWidth="1"/>
    <col min="13323" max="13323" width="6.08984375" style="150" customWidth="1"/>
    <col min="13324" max="13324" width="6.26953125" style="150" bestFit="1" customWidth="1"/>
    <col min="13325" max="13325" width="4.7265625" style="150" bestFit="1" customWidth="1"/>
    <col min="13326" max="13326" width="6.26953125" style="150" bestFit="1" customWidth="1"/>
    <col min="13327" max="13327" width="4.453125" style="150" customWidth="1"/>
    <col min="13328" max="13328" width="6.26953125" style="150" bestFit="1" customWidth="1"/>
    <col min="13329" max="13329" width="4.7265625" style="150" bestFit="1" customWidth="1"/>
    <col min="13330" max="13330" width="6.26953125" style="150" bestFit="1" customWidth="1"/>
    <col min="13331" max="13331" width="4.7265625" style="150" bestFit="1" customWidth="1"/>
    <col min="13332" max="13332" width="4.6328125" style="150" customWidth="1"/>
    <col min="13333" max="13333" width="8.7265625" style="150"/>
    <col min="13334" max="13334" width="4.6328125" style="150" customWidth="1"/>
    <col min="13335" max="13335" width="8.7265625" style="150"/>
    <col min="13336" max="13336" width="4.6328125" style="150" customWidth="1"/>
    <col min="13337" max="13337" width="8.7265625" style="150"/>
    <col min="13338" max="13338" width="4.6328125" style="150" customWidth="1"/>
    <col min="13339" max="13339" width="8.7265625" style="150"/>
    <col min="13340" max="13340" width="4.6328125" style="150" customWidth="1"/>
    <col min="13341" max="13568" width="8.7265625" style="150"/>
    <col min="13569" max="13569" width="5.6328125" style="150" customWidth="1"/>
    <col min="13570" max="13570" width="3" style="150" customWidth="1"/>
    <col min="13571" max="13571" width="15.36328125" style="150" customWidth="1"/>
    <col min="13572" max="13572" width="7.26953125" style="150" bestFit="1" customWidth="1"/>
    <col min="13573" max="13573" width="6.26953125" style="150" bestFit="1" customWidth="1"/>
    <col min="13574" max="13574" width="4.7265625" style="150" bestFit="1" customWidth="1"/>
    <col min="13575" max="13575" width="6.26953125" style="150" bestFit="1" customWidth="1"/>
    <col min="13576" max="13576" width="4.7265625" style="150" bestFit="1" customWidth="1"/>
    <col min="13577" max="13577" width="6.26953125" style="150" bestFit="1" customWidth="1"/>
    <col min="13578" max="13578" width="4.7265625" style="150" bestFit="1" customWidth="1"/>
    <col min="13579" max="13579" width="6.08984375" style="150" customWidth="1"/>
    <col min="13580" max="13580" width="6.26953125" style="150" bestFit="1" customWidth="1"/>
    <col min="13581" max="13581" width="4.7265625" style="150" bestFit="1" customWidth="1"/>
    <col min="13582" max="13582" width="6.26953125" style="150" bestFit="1" customWidth="1"/>
    <col min="13583" max="13583" width="4.453125" style="150" customWidth="1"/>
    <col min="13584" max="13584" width="6.26953125" style="150" bestFit="1" customWidth="1"/>
    <col min="13585" max="13585" width="4.7265625" style="150" bestFit="1" customWidth="1"/>
    <col min="13586" max="13586" width="6.26953125" style="150" bestFit="1" customWidth="1"/>
    <col min="13587" max="13587" width="4.7265625" style="150" bestFit="1" customWidth="1"/>
    <col min="13588" max="13588" width="4.6328125" style="150" customWidth="1"/>
    <col min="13589" max="13589" width="8.7265625" style="150"/>
    <col min="13590" max="13590" width="4.6328125" style="150" customWidth="1"/>
    <col min="13591" max="13591" width="8.7265625" style="150"/>
    <col min="13592" max="13592" width="4.6328125" style="150" customWidth="1"/>
    <col min="13593" max="13593" width="8.7265625" style="150"/>
    <col min="13594" max="13594" width="4.6328125" style="150" customWidth="1"/>
    <col min="13595" max="13595" width="8.7265625" style="150"/>
    <col min="13596" max="13596" width="4.6328125" style="150" customWidth="1"/>
    <col min="13597" max="13824" width="8.7265625" style="150"/>
    <col min="13825" max="13825" width="5.6328125" style="150" customWidth="1"/>
    <col min="13826" max="13826" width="3" style="150" customWidth="1"/>
    <col min="13827" max="13827" width="15.36328125" style="150" customWidth="1"/>
    <col min="13828" max="13828" width="7.26953125" style="150" bestFit="1" customWidth="1"/>
    <col min="13829" max="13829" width="6.26953125" style="150" bestFit="1" customWidth="1"/>
    <col min="13830" max="13830" width="4.7265625" style="150" bestFit="1" customWidth="1"/>
    <col min="13831" max="13831" width="6.26953125" style="150" bestFit="1" customWidth="1"/>
    <col min="13832" max="13832" width="4.7265625" style="150" bestFit="1" customWidth="1"/>
    <col min="13833" max="13833" width="6.26953125" style="150" bestFit="1" customWidth="1"/>
    <col min="13834" max="13834" width="4.7265625" style="150" bestFit="1" customWidth="1"/>
    <col min="13835" max="13835" width="6.08984375" style="150" customWidth="1"/>
    <col min="13836" max="13836" width="6.26953125" style="150" bestFit="1" customWidth="1"/>
    <col min="13837" max="13837" width="4.7265625" style="150" bestFit="1" customWidth="1"/>
    <col min="13838" max="13838" width="6.26953125" style="150" bestFit="1" customWidth="1"/>
    <col min="13839" max="13839" width="4.453125" style="150" customWidth="1"/>
    <col min="13840" max="13840" width="6.26953125" style="150" bestFit="1" customWidth="1"/>
    <col min="13841" max="13841" width="4.7265625" style="150" bestFit="1" customWidth="1"/>
    <col min="13842" max="13842" width="6.26953125" style="150" bestFit="1" customWidth="1"/>
    <col min="13843" max="13843" width="4.7265625" style="150" bestFit="1" customWidth="1"/>
    <col min="13844" max="13844" width="4.6328125" style="150" customWidth="1"/>
    <col min="13845" max="13845" width="8.7265625" style="150"/>
    <col min="13846" max="13846" width="4.6328125" style="150" customWidth="1"/>
    <col min="13847" max="13847" width="8.7265625" style="150"/>
    <col min="13848" max="13848" width="4.6328125" style="150" customWidth="1"/>
    <col min="13849" max="13849" width="8.7265625" style="150"/>
    <col min="13850" max="13850" width="4.6328125" style="150" customWidth="1"/>
    <col min="13851" max="13851" width="8.7265625" style="150"/>
    <col min="13852" max="13852" width="4.6328125" style="150" customWidth="1"/>
    <col min="13853" max="14080" width="8.7265625" style="150"/>
    <col min="14081" max="14081" width="5.6328125" style="150" customWidth="1"/>
    <col min="14082" max="14082" width="3" style="150" customWidth="1"/>
    <col min="14083" max="14083" width="15.36328125" style="150" customWidth="1"/>
    <col min="14084" max="14084" width="7.26953125" style="150" bestFit="1" customWidth="1"/>
    <col min="14085" max="14085" width="6.26953125" style="150" bestFit="1" customWidth="1"/>
    <col min="14086" max="14086" width="4.7265625" style="150" bestFit="1" customWidth="1"/>
    <col min="14087" max="14087" width="6.26953125" style="150" bestFit="1" customWidth="1"/>
    <col min="14088" max="14088" width="4.7265625" style="150" bestFit="1" customWidth="1"/>
    <col min="14089" max="14089" width="6.26953125" style="150" bestFit="1" customWidth="1"/>
    <col min="14090" max="14090" width="4.7265625" style="150" bestFit="1" customWidth="1"/>
    <col min="14091" max="14091" width="6.08984375" style="150" customWidth="1"/>
    <col min="14092" max="14092" width="6.26953125" style="150" bestFit="1" customWidth="1"/>
    <col min="14093" max="14093" width="4.7265625" style="150" bestFit="1" customWidth="1"/>
    <col min="14094" max="14094" width="6.26953125" style="150" bestFit="1" customWidth="1"/>
    <col min="14095" max="14095" width="4.453125" style="150" customWidth="1"/>
    <col min="14096" max="14096" width="6.26953125" style="150" bestFit="1" customWidth="1"/>
    <col min="14097" max="14097" width="4.7265625" style="150" bestFit="1" customWidth="1"/>
    <col min="14098" max="14098" width="6.26953125" style="150" bestFit="1" customWidth="1"/>
    <col min="14099" max="14099" width="4.7265625" style="150" bestFit="1" customWidth="1"/>
    <col min="14100" max="14100" width="4.6328125" style="150" customWidth="1"/>
    <col min="14101" max="14101" width="8.7265625" style="150"/>
    <col min="14102" max="14102" width="4.6328125" style="150" customWidth="1"/>
    <col min="14103" max="14103" width="8.7265625" style="150"/>
    <col min="14104" max="14104" width="4.6328125" style="150" customWidth="1"/>
    <col min="14105" max="14105" width="8.7265625" style="150"/>
    <col min="14106" max="14106" width="4.6328125" style="150" customWidth="1"/>
    <col min="14107" max="14107" width="8.7265625" style="150"/>
    <col min="14108" max="14108" width="4.6328125" style="150" customWidth="1"/>
    <col min="14109" max="14336" width="8.7265625" style="150"/>
    <col min="14337" max="14337" width="5.6328125" style="150" customWidth="1"/>
    <col min="14338" max="14338" width="3" style="150" customWidth="1"/>
    <col min="14339" max="14339" width="15.36328125" style="150" customWidth="1"/>
    <col min="14340" max="14340" width="7.26953125" style="150" bestFit="1" customWidth="1"/>
    <col min="14341" max="14341" width="6.26953125" style="150" bestFit="1" customWidth="1"/>
    <col min="14342" max="14342" width="4.7265625" style="150" bestFit="1" customWidth="1"/>
    <col min="14343" max="14343" width="6.26953125" style="150" bestFit="1" customWidth="1"/>
    <col min="14344" max="14344" width="4.7265625" style="150" bestFit="1" customWidth="1"/>
    <col min="14345" max="14345" width="6.26953125" style="150" bestFit="1" customWidth="1"/>
    <col min="14346" max="14346" width="4.7265625" style="150" bestFit="1" customWidth="1"/>
    <col min="14347" max="14347" width="6.08984375" style="150" customWidth="1"/>
    <col min="14348" max="14348" width="6.26953125" style="150" bestFit="1" customWidth="1"/>
    <col min="14349" max="14349" width="4.7265625" style="150" bestFit="1" customWidth="1"/>
    <col min="14350" max="14350" width="6.26953125" style="150" bestFit="1" customWidth="1"/>
    <col min="14351" max="14351" width="4.453125" style="150" customWidth="1"/>
    <col min="14352" max="14352" width="6.26953125" style="150" bestFit="1" customWidth="1"/>
    <col min="14353" max="14353" width="4.7265625" style="150" bestFit="1" customWidth="1"/>
    <col min="14354" max="14354" width="6.26953125" style="150" bestFit="1" customWidth="1"/>
    <col min="14355" max="14355" width="4.7265625" style="150" bestFit="1" customWidth="1"/>
    <col min="14356" max="14356" width="4.6328125" style="150" customWidth="1"/>
    <col min="14357" max="14357" width="8.7265625" style="150"/>
    <col min="14358" max="14358" width="4.6328125" style="150" customWidth="1"/>
    <col min="14359" max="14359" width="8.7265625" style="150"/>
    <col min="14360" max="14360" width="4.6328125" style="150" customWidth="1"/>
    <col min="14361" max="14361" width="8.7265625" style="150"/>
    <col min="14362" max="14362" width="4.6328125" style="150" customWidth="1"/>
    <col min="14363" max="14363" width="8.7265625" style="150"/>
    <col min="14364" max="14364" width="4.6328125" style="150" customWidth="1"/>
    <col min="14365" max="14592" width="8.7265625" style="150"/>
    <col min="14593" max="14593" width="5.6328125" style="150" customWidth="1"/>
    <col min="14594" max="14594" width="3" style="150" customWidth="1"/>
    <col min="14595" max="14595" width="15.36328125" style="150" customWidth="1"/>
    <col min="14596" max="14596" width="7.26953125" style="150" bestFit="1" customWidth="1"/>
    <col min="14597" max="14597" width="6.26953125" style="150" bestFit="1" customWidth="1"/>
    <col min="14598" max="14598" width="4.7265625" style="150" bestFit="1" customWidth="1"/>
    <col min="14599" max="14599" width="6.26953125" style="150" bestFit="1" customWidth="1"/>
    <col min="14600" max="14600" width="4.7265625" style="150" bestFit="1" customWidth="1"/>
    <col min="14601" max="14601" width="6.26953125" style="150" bestFit="1" customWidth="1"/>
    <col min="14602" max="14602" width="4.7265625" style="150" bestFit="1" customWidth="1"/>
    <col min="14603" max="14603" width="6.08984375" style="150" customWidth="1"/>
    <col min="14604" max="14604" width="6.26953125" style="150" bestFit="1" customWidth="1"/>
    <col min="14605" max="14605" width="4.7265625" style="150" bestFit="1" customWidth="1"/>
    <col min="14606" max="14606" width="6.26953125" style="150" bestFit="1" customWidth="1"/>
    <col min="14607" max="14607" width="4.453125" style="150" customWidth="1"/>
    <col min="14608" max="14608" width="6.26953125" style="150" bestFit="1" customWidth="1"/>
    <col min="14609" max="14609" width="4.7265625" style="150" bestFit="1" customWidth="1"/>
    <col min="14610" max="14610" width="6.26953125" style="150" bestFit="1" customWidth="1"/>
    <col min="14611" max="14611" width="4.7265625" style="150" bestFit="1" customWidth="1"/>
    <col min="14612" max="14612" width="4.6328125" style="150" customWidth="1"/>
    <col min="14613" max="14613" width="8.7265625" style="150"/>
    <col min="14614" max="14614" width="4.6328125" style="150" customWidth="1"/>
    <col min="14615" max="14615" width="8.7265625" style="150"/>
    <col min="14616" max="14616" width="4.6328125" style="150" customWidth="1"/>
    <col min="14617" max="14617" width="8.7265625" style="150"/>
    <col min="14618" max="14618" width="4.6328125" style="150" customWidth="1"/>
    <col min="14619" max="14619" width="8.7265625" style="150"/>
    <col min="14620" max="14620" width="4.6328125" style="150" customWidth="1"/>
    <col min="14621" max="14848" width="8.7265625" style="150"/>
    <col min="14849" max="14849" width="5.6328125" style="150" customWidth="1"/>
    <col min="14850" max="14850" width="3" style="150" customWidth="1"/>
    <col min="14851" max="14851" width="15.36328125" style="150" customWidth="1"/>
    <col min="14852" max="14852" width="7.26953125" style="150" bestFit="1" customWidth="1"/>
    <col min="14853" max="14853" width="6.26953125" style="150" bestFit="1" customWidth="1"/>
    <col min="14854" max="14854" width="4.7265625" style="150" bestFit="1" customWidth="1"/>
    <col min="14855" max="14855" width="6.26953125" style="150" bestFit="1" customWidth="1"/>
    <col min="14856" max="14856" width="4.7265625" style="150" bestFit="1" customWidth="1"/>
    <col min="14857" max="14857" width="6.26953125" style="150" bestFit="1" customWidth="1"/>
    <col min="14858" max="14858" width="4.7265625" style="150" bestFit="1" customWidth="1"/>
    <col min="14859" max="14859" width="6.08984375" style="150" customWidth="1"/>
    <col min="14860" max="14860" width="6.26953125" style="150" bestFit="1" customWidth="1"/>
    <col min="14861" max="14861" width="4.7265625" style="150" bestFit="1" customWidth="1"/>
    <col min="14862" max="14862" width="6.26953125" style="150" bestFit="1" customWidth="1"/>
    <col min="14863" max="14863" width="4.453125" style="150" customWidth="1"/>
    <col min="14864" max="14864" width="6.26953125" style="150" bestFit="1" customWidth="1"/>
    <col min="14865" max="14865" width="4.7265625" style="150" bestFit="1" customWidth="1"/>
    <col min="14866" max="14866" width="6.26953125" style="150" bestFit="1" customWidth="1"/>
    <col min="14867" max="14867" width="4.7265625" style="150" bestFit="1" customWidth="1"/>
    <col min="14868" max="14868" width="4.6328125" style="150" customWidth="1"/>
    <col min="14869" max="14869" width="8.7265625" style="150"/>
    <col min="14870" max="14870" width="4.6328125" style="150" customWidth="1"/>
    <col min="14871" max="14871" width="8.7265625" style="150"/>
    <col min="14872" max="14872" width="4.6328125" style="150" customWidth="1"/>
    <col min="14873" max="14873" width="8.7265625" style="150"/>
    <col min="14874" max="14874" width="4.6328125" style="150" customWidth="1"/>
    <col min="14875" max="14875" width="8.7265625" style="150"/>
    <col min="14876" max="14876" width="4.6328125" style="150" customWidth="1"/>
    <col min="14877" max="15104" width="8.7265625" style="150"/>
    <col min="15105" max="15105" width="5.6328125" style="150" customWidth="1"/>
    <col min="15106" max="15106" width="3" style="150" customWidth="1"/>
    <col min="15107" max="15107" width="15.36328125" style="150" customWidth="1"/>
    <col min="15108" max="15108" width="7.26953125" style="150" bestFit="1" customWidth="1"/>
    <col min="15109" max="15109" width="6.26953125" style="150" bestFit="1" customWidth="1"/>
    <col min="15110" max="15110" width="4.7265625" style="150" bestFit="1" customWidth="1"/>
    <col min="15111" max="15111" width="6.26953125" style="150" bestFit="1" customWidth="1"/>
    <col min="15112" max="15112" width="4.7265625" style="150" bestFit="1" customWidth="1"/>
    <col min="15113" max="15113" width="6.26953125" style="150" bestFit="1" customWidth="1"/>
    <col min="15114" max="15114" width="4.7265625" style="150" bestFit="1" customWidth="1"/>
    <col min="15115" max="15115" width="6.08984375" style="150" customWidth="1"/>
    <col min="15116" max="15116" width="6.26953125" style="150" bestFit="1" customWidth="1"/>
    <col min="15117" max="15117" width="4.7265625" style="150" bestFit="1" customWidth="1"/>
    <col min="15118" max="15118" width="6.26953125" style="150" bestFit="1" customWidth="1"/>
    <col min="15119" max="15119" width="4.453125" style="150" customWidth="1"/>
    <col min="15120" max="15120" width="6.26953125" style="150" bestFit="1" customWidth="1"/>
    <col min="15121" max="15121" width="4.7265625" style="150" bestFit="1" customWidth="1"/>
    <col min="15122" max="15122" width="6.26953125" style="150" bestFit="1" customWidth="1"/>
    <col min="15123" max="15123" width="4.7265625" style="150" bestFit="1" customWidth="1"/>
    <col min="15124" max="15124" width="4.6328125" style="150" customWidth="1"/>
    <col min="15125" max="15125" width="8.7265625" style="150"/>
    <col min="15126" max="15126" width="4.6328125" style="150" customWidth="1"/>
    <col min="15127" max="15127" width="8.7265625" style="150"/>
    <col min="15128" max="15128" width="4.6328125" style="150" customWidth="1"/>
    <col min="15129" max="15129" width="8.7265625" style="150"/>
    <col min="15130" max="15130" width="4.6328125" style="150" customWidth="1"/>
    <col min="15131" max="15131" width="8.7265625" style="150"/>
    <col min="15132" max="15132" width="4.6328125" style="150" customWidth="1"/>
    <col min="15133" max="15360" width="8.7265625" style="150"/>
    <col min="15361" max="15361" width="5.6328125" style="150" customWidth="1"/>
    <col min="15362" max="15362" width="3" style="150" customWidth="1"/>
    <col min="15363" max="15363" width="15.36328125" style="150" customWidth="1"/>
    <col min="15364" max="15364" width="7.26953125" style="150" bestFit="1" customWidth="1"/>
    <col min="15365" max="15365" width="6.26953125" style="150" bestFit="1" customWidth="1"/>
    <col min="15366" max="15366" width="4.7265625" style="150" bestFit="1" customWidth="1"/>
    <col min="15367" max="15367" width="6.26953125" style="150" bestFit="1" customWidth="1"/>
    <col min="15368" max="15368" width="4.7265625" style="150" bestFit="1" customWidth="1"/>
    <col min="15369" max="15369" width="6.26953125" style="150" bestFit="1" customWidth="1"/>
    <col min="15370" max="15370" width="4.7265625" style="150" bestFit="1" customWidth="1"/>
    <col min="15371" max="15371" width="6.08984375" style="150" customWidth="1"/>
    <col min="15372" max="15372" width="6.26953125" style="150" bestFit="1" customWidth="1"/>
    <col min="15373" max="15373" width="4.7265625" style="150" bestFit="1" customWidth="1"/>
    <col min="15374" max="15374" width="6.26953125" style="150" bestFit="1" customWidth="1"/>
    <col min="15375" max="15375" width="4.453125" style="150" customWidth="1"/>
    <col min="15376" max="15376" width="6.26953125" style="150" bestFit="1" customWidth="1"/>
    <col min="15377" max="15377" width="4.7265625" style="150" bestFit="1" customWidth="1"/>
    <col min="15378" max="15378" width="6.26953125" style="150" bestFit="1" customWidth="1"/>
    <col min="15379" max="15379" width="4.7265625" style="150" bestFit="1" customWidth="1"/>
    <col min="15380" max="15380" width="4.6328125" style="150" customWidth="1"/>
    <col min="15381" max="15381" width="8.7265625" style="150"/>
    <col min="15382" max="15382" width="4.6328125" style="150" customWidth="1"/>
    <col min="15383" max="15383" width="8.7265625" style="150"/>
    <col min="15384" max="15384" width="4.6328125" style="150" customWidth="1"/>
    <col min="15385" max="15385" width="8.7265625" style="150"/>
    <col min="15386" max="15386" width="4.6328125" style="150" customWidth="1"/>
    <col min="15387" max="15387" width="8.7265625" style="150"/>
    <col min="15388" max="15388" width="4.6328125" style="150" customWidth="1"/>
    <col min="15389" max="15616" width="8.7265625" style="150"/>
    <col min="15617" max="15617" width="5.6328125" style="150" customWidth="1"/>
    <col min="15618" max="15618" width="3" style="150" customWidth="1"/>
    <col min="15619" max="15619" width="15.36328125" style="150" customWidth="1"/>
    <col min="15620" max="15620" width="7.26953125" style="150" bestFit="1" customWidth="1"/>
    <col min="15621" max="15621" width="6.26953125" style="150" bestFit="1" customWidth="1"/>
    <col min="15622" max="15622" width="4.7265625" style="150" bestFit="1" customWidth="1"/>
    <col min="15623" max="15623" width="6.26953125" style="150" bestFit="1" customWidth="1"/>
    <col min="15624" max="15624" width="4.7265625" style="150" bestFit="1" customWidth="1"/>
    <col min="15625" max="15625" width="6.26953125" style="150" bestFit="1" customWidth="1"/>
    <col min="15626" max="15626" width="4.7265625" style="150" bestFit="1" customWidth="1"/>
    <col min="15627" max="15627" width="6.08984375" style="150" customWidth="1"/>
    <col min="15628" max="15628" width="6.26953125" style="150" bestFit="1" customWidth="1"/>
    <col min="15629" max="15629" width="4.7265625" style="150" bestFit="1" customWidth="1"/>
    <col min="15630" max="15630" width="6.26953125" style="150" bestFit="1" customWidth="1"/>
    <col min="15631" max="15631" width="4.453125" style="150" customWidth="1"/>
    <col min="15632" max="15632" width="6.26953125" style="150" bestFit="1" customWidth="1"/>
    <col min="15633" max="15633" width="4.7265625" style="150" bestFit="1" customWidth="1"/>
    <col min="15634" max="15634" width="6.26953125" style="150" bestFit="1" customWidth="1"/>
    <col min="15635" max="15635" width="4.7265625" style="150" bestFit="1" customWidth="1"/>
    <col min="15636" max="15636" width="4.6328125" style="150" customWidth="1"/>
    <col min="15637" max="15637" width="8.7265625" style="150"/>
    <col min="15638" max="15638" width="4.6328125" style="150" customWidth="1"/>
    <col min="15639" max="15639" width="8.7265625" style="150"/>
    <col min="15640" max="15640" width="4.6328125" style="150" customWidth="1"/>
    <col min="15641" max="15641" width="8.7265625" style="150"/>
    <col min="15642" max="15642" width="4.6328125" style="150" customWidth="1"/>
    <col min="15643" max="15643" width="8.7265625" style="150"/>
    <col min="15644" max="15644" width="4.6328125" style="150" customWidth="1"/>
    <col min="15645" max="15872" width="8.7265625" style="150"/>
    <col min="15873" max="15873" width="5.6328125" style="150" customWidth="1"/>
    <col min="15874" max="15874" width="3" style="150" customWidth="1"/>
    <col min="15875" max="15875" width="15.36328125" style="150" customWidth="1"/>
    <col min="15876" max="15876" width="7.26953125" style="150" bestFit="1" customWidth="1"/>
    <col min="15877" max="15877" width="6.26953125" style="150" bestFit="1" customWidth="1"/>
    <col min="15878" max="15878" width="4.7265625" style="150" bestFit="1" customWidth="1"/>
    <col min="15879" max="15879" width="6.26953125" style="150" bestFit="1" customWidth="1"/>
    <col min="15880" max="15880" width="4.7265625" style="150" bestFit="1" customWidth="1"/>
    <col min="15881" max="15881" width="6.26953125" style="150" bestFit="1" customWidth="1"/>
    <col min="15882" max="15882" width="4.7265625" style="150" bestFit="1" customWidth="1"/>
    <col min="15883" max="15883" width="6.08984375" style="150" customWidth="1"/>
    <col min="15884" max="15884" width="6.26953125" style="150" bestFit="1" customWidth="1"/>
    <col min="15885" max="15885" width="4.7265625" style="150" bestFit="1" customWidth="1"/>
    <col min="15886" max="15886" width="6.26953125" style="150" bestFit="1" customWidth="1"/>
    <col min="15887" max="15887" width="4.453125" style="150" customWidth="1"/>
    <col min="15888" max="15888" width="6.26953125" style="150" bestFit="1" customWidth="1"/>
    <col min="15889" max="15889" width="4.7265625" style="150" bestFit="1" customWidth="1"/>
    <col min="15890" max="15890" width="6.26953125" style="150" bestFit="1" customWidth="1"/>
    <col min="15891" max="15891" width="4.7265625" style="150" bestFit="1" customWidth="1"/>
    <col min="15892" max="15892" width="4.6328125" style="150" customWidth="1"/>
    <col min="15893" max="15893" width="8.7265625" style="150"/>
    <col min="15894" max="15894" width="4.6328125" style="150" customWidth="1"/>
    <col min="15895" max="15895" width="8.7265625" style="150"/>
    <col min="15896" max="15896" width="4.6328125" style="150" customWidth="1"/>
    <col min="15897" max="15897" width="8.7265625" style="150"/>
    <col min="15898" max="15898" width="4.6328125" style="150" customWidth="1"/>
    <col min="15899" max="15899" width="8.7265625" style="150"/>
    <col min="15900" max="15900" width="4.6328125" style="150" customWidth="1"/>
    <col min="15901" max="16128" width="8.7265625" style="150"/>
    <col min="16129" max="16129" width="5.6328125" style="150" customWidth="1"/>
    <col min="16130" max="16130" width="3" style="150" customWidth="1"/>
    <col min="16131" max="16131" width="15.36328125" style="150" customWidth="1"/>
    <col min="16132" max="16132" width="7.26953125" style="150" bestFit="1" customWidth="1"/>
    <col min="16133" max="16133" width="6.26953125" style="150" bestFit="1" customWidth="1"/>
    <col min="16134" max="16134" width="4.7265625" style="150" bestFit="1" customWidth="1"/>
    <col min="16135" max="16135" width="6.26953125" style="150" bestFit="1" customWidth="1"/>
    <col min="16136" max="16136" width="4.7265625" style="150" bestFit="1" customWidth="1"/>
    <col min="16137" max="16137" width="6.26953125" style="150" bestFit="1" customWidth="1"/>
    <col min="16138" max="16138" width="4.7265625" style="150" bestFit="1" customWidth="1"/>
    <col min="16139" max="16139" width="6.08984375" style="150" customWidth="1"/>
    <col min="16140" max="16140" width="6.26953125" style="150" bestFit="1" customWidth="1"/>
    <col min="16141" max="16141" width="4.7265625" style="150" bestFit="1" customWidth="1"/>
    <col min="16142" max="16142" width="6.26953125" style="150" bestFit="1" customWidth="1"/>
    <col min="16143" max="16143" width="4.453125" style="150" customWidth="1"/>
    <col min="16144" max="16144" width="6.26953125" style="150" bestFit="1" customWidth="1"/>
    <col min="16145" max="16145" width="4.7265625" style="150" bestFit="1" customWidth="1"/>
    <col min="16146" max="16146" width="6.26953125" style="150" bestFit="1" customWidth="1"/>
    <col min="16147" max="16147" width="4.7265625" style="150" bestFit="1" customWidth="1"/>
    <col min="16148" max="16148" width="4.6328125" style="150" customWidth="1"/>
    <col min="16149" max="16149" width="8.7265625" style="150"/>
    <col min="16150" max="16150" width="4.6328125" style="150" customWidth="1"/>
    <col min="16151" max="16151" width="8.7265625" style="150"/>
    <col min="16152" max="16152" width="4.6328125" style="150" customWidth="1"/>
    <col min="16153" max="16153" width="8.7265625" style="150"/>
    <col min="16154" max="16154" width="4.6328125" style="150" customWidth="1"/>
    <col min="16155" max="16155" width="8.7265625" style="150"/>
    <col min="16156" max="16156" width="4.6328125" style="150" customWidth="1"/>
    <col min="16157" max="16384" width="8.7265625" style="150"/>
  </cols>
  <sheetData>
    <row r="1" spans="1:29" ht="16.5">
      <c r="A1" s="216" t="s">
        <v>919</v>
      </c>
    </row>
    <row r="2" spans="1:29" ht="14.15" customHeight="1">
      <c r="T2" s="238"/>
      <c r="U2" s="238"/>
      <c r="V2" s="238"/>
      <c r="W2" s="238"/>
      <c r="X2" s="238"/>
      <c r="Y2" s="238"/>
      <c r="Z2" s="238"/>
      <c r="AA2" s="238"/>
      <c r="AB2" s="238"/>
      <c r="AC2" s="238"/>
    </row>
    <row r="3" spans="1:29" s="178" customFormat="1" ht="16.5" customHeight="1">
      <c r="A3" s="849" t="s">
        <v>495</v>
      </c>
      <c r="B3" s="849" t="s">
        <v>496</v>
      </c>
      <c r="C3" s="849" t="s">
        <v>497</v>
      </c>
      <c r="D3" s="849" t="s">
        <v>544</v>
      </c>
      <c r="E3" s="849"/>
      <c r="F3" s="849"/>
      <c r="G3" s="849"/>
      <c r="H3" s="849"/>
      <c r="I3" s="849"/>
      <c r="J3" s="849"/>
      <c r="K3" s="914" t="s">
        <v>551</v>
      </c>
      <c r="L3" s="914"/>
      <c r="M3" s="914"/>
      <c r="N3" s="914"/>
      <c r="O3" s="914"/>
      <c r="P3" s="914" t="s">
        <v>551</v>
      </c>
      <c r="Q3" s="914"/>
      <c r="R3" s="914"/>
      <c r="S3" s="914"/>
      <c r="T3" s="2000" t="s">
        <v>920</v>
      </c>
      <c r="U3" s="2000"/>
      <c r="V3" s="2000"/>
      <c r="W3" s="2000"/>
      <c r="X3" s="2000"/>
      <c r="Y3" s="2000"/>
      <c r="Z3" s="2000"/>
      <c r="AA3" s="2000"/>
      <c r="AB3" s="2000"/>
      <c r="AC3" s="2000"/>
    </row>
    <row r="4" spans="1:29" s="178" customFormat="1" ht="16.5" customHeight="1">
      <c r="A4" s="849"/>
      <c r="B4" s="849"/>
      <c r="C4" s="849"/>
      <c r="D4" s="833" t="s">
        <v>921</v>
      </c>
      <c r="E4" s="841" t="s">
        <v>546</v>
      </c>
      <c r="F4" s="842"/>
      <c r="G4" s="841" t="s">
        <v>547</v>
      </c>
      <c r="H4" s="856"/>
      <c r="I4" s="791"/>
      <c r="J4" s="416"/>
      <c r="K4" s="833" t="s">
        <v>922</v>
      </c>
      <c r="L4" s="849" t="s">
        <v>553</v>
      </c>
      <c r="M4" s="849"/>
      <c r="N4" s="849" t="s">
        <v>554</v>
      </c>
      <c r="O4" s="849"/>
      <c r="P4" s="841" t="s">
        <v>555</v>
      </c>
      <c r="Q4" s="856"/>
      <c r="R4" s="790"/>
      <c r="S4" s="168"/>
      <c r="T4" s="841" t="s">
        <v>923</v>
      </c>
      <c r="U4" s="842"/>
      <c r="V4" s="2000" t="s">
        <v>924</v>
      </c>
      <c r="W4" s="2000"/>
      <c r="X4" s="2000" t="s">
        <v>925</v>
      </c>
      <c r="Y4" s="2000"/>
      <c r="Z4" s="2000"/>
      <c r="AA4" s="2000"/>
      <c r="AB4" s="2000"/>
      <c r="AC4" s="2000"/>
    </row>
    <row r="5" spans="1:29" s="178" customFormat="1" ht="16.5" customHeight="1">
      <c r="A5" s="849"/>
      <c r="B5" s="849"/>
      <c r="C5" s="849"/>
      <c r="D5" s="840"/>
      <c r="E5" s="858"/>
      <c r="F5" s="844"/>
      <c r="G5" s="858"/>
      <c r="H5" s="859"/>
      <c r="I5" s="847" t="s">
        <v>548</v>
      </c>
      <c r="J5" s="852"/>
      <c r="K5" s="840"/>
      <c r="L5" s="849"/>
      <c r="M5" s="849"/>
      <c r="N5" s="849"/>
      <c r="O5" s="849"/>
      <c r="P5" s="858"/>
      <c r="Q5" s="844"/>
      <c r="R5" s="847" t="s">
        <v>548</v>
      </c>
      <c r="S5" s="848"/>
      <c r="T5" s="2008" t="s">
        <v>926</v>
      </c>
      <c r="U5" s="2115" t="s">
        <v>927</v>
      </c>
      <c r="V5" s="2008" t="s">
        <v>926</v>
      </c>
      <c r="W5" s="2008" t="s">
        <v>928</v>
      </c>
      <c r="X5" s="2059" t="s">
        <v>929</v>
      </c>
      <c r="Y5" s="2061"/>
      <c r="Z5" s="2000" t="s">
        <v>930</v>
      </c>
      <c r="AA5" s="2000"/>
      <c r="AB5" s="2000"/>
      <c r="AC5" s="2000"/>
    </row>
    <row r="6" spans="1:29" s="178" customFormat="1" ht="16.5" customHeight="1">
      <c r="A6" s="849"/>
      <c r="B6" s="849"/>
      <c r="C6" s="849"/>
      <c r="D6" s="840"/>
      <c r="E6" s="849" t="s">
        <v>931</v>
      </c>
      <c r="F6" s="850" t="s">
        <v>550</v>
      </c>
      <c r="G6" s="922" t="s">
        <v>931</v>
      </c>
      <c r="H6" s="850" t="s">
        <v>550</v>
      </c>
      <c r="I6" s="849" t="s">
        <v>931</v>
      </c>
      <c r="J6" s="850" t="s">
        <v>550</v>
      </c>
      <c r="K6" s="840"/>
      <c r="L6" s="849" t="s">
        <v>932</v>
      </c>
      <c r="M6" s="850" t="s">
        <v>550</v>
      </c>
      <c r="N6" s="849" t="s">
        <v>932</v>
      </c>
      <c r="O6" s="850" t="s">
        <v>550</v>
      </c>
      <c r="P6" s="849" t="s">
        <v>932</v>
      </c>
      <c r="Q6" s="850" t="s">
        <v>550</v>
      </c>
      <c r="R6" s="849" t="s">
        <v>932</v>
      </c>
      <c r="S6" s="850" t="s">
        <v>550</v>
      </c>
      <c r="T6" s="2009"/>
      <c r="U6" s="2115"/>
      <c r="V6" s="2009"/>
      <c r="W6" s="2009"/>
      <c r="X6" s="2066"/>
      <c r="Y6" s="2068"/>
      <c r="Z6" s="2000" t="s">
        <v>933</v>
      </c>
      <c r="AA6" s="2000"/>
      <c r="AB6" s="2000" t="s">
        <v>934</v>
      </c>
      <c r="AC6" s="2000"/>
    </row>
    <row r="7" spans="1:29" s="178" customFormat="1" ht="50.25" customHeight="1">
      <c r="A7" s="849"/>
      <c r="B7" s="849"/>
      <c r="C7" s="849"/>
      <c r="D7" s="834"/>
      <c r="E7" s="849"/>
      <c r="F7" s="850"/>
      <c r="G7" s="922"/>
      <c r="H7" s="850"/>
      <c r="I7" s="849"/>
      <c r="J7" s="850"/>
      <c r="K7" s="834"/>
      <c r="L7" s="849"/>
      <c r="M7" s="850"/>
      <c r="N7" s="849"/>
      <c r="O7" s="850"/>
      <c r="P7" s="849"/>
      <c r="Q7" s="850"/>
      <c r="R7" s="849"/>
      <c r="S7" s="850"/>
      <c r="T7" s="2010"/>
      <c r="U7" s="2115"/>
      <c r="V7" s="2010"/>
      <c r="W7" s="2010"/>
      <c r="X7" s="2069" t="s">
        <v>935</v>
      </c>
      <c r="Y7" s="2069" t="s">
        <v>936</v>
      </c>
      <c r="Z7" s="2020" t="s">
        <v>935</v>
      </c>
      <c r="AA7" s="2020" t="s">
        <v>937</v>
      </c>
      <c r="AB7" s="2020" t="s">
        <v>935</v>
      </c>
      <c r="AC7" s="2020" t="s">
        <v>938</v>
      </c>
    </row>
    <row r="8" spans="1:29" s="355" customFormat="1" ht="14.15" customHeight="1">
      <c r="A8" s="920" t="s">
        <v>507</v>
      </c>
      <c r="B8" s="339">
        <v>6</v>
      </c>
      <c r="C8" s="231" t="s">
        <v>687</v>
      </c>
      <c r="D8" s="231">
        <f>E8+G8</f>
        <v>16838</v>
      </c>
      <c r="E8" s="231">
        <v>0</v>
      </c>
      <c r="F8" s="244">
        <f t="shared" ref="F8:F15" si="0">E8/$D8*100</f>
        <v>0</v>
      </c>
      <c r="G8" s="231">
        <v>16838</v>
      </c>
      <c r="H8" s="236">
        <f t="shared" ref="H8:H15" si="1">G8/$D8*100</f>
        <v>100</v>
      </c>
      <c r="I8" s="231">
        <v>16838</v>
      </c>
      <c r="J8" s="236">
        <f t="shared" ref="J8:J15" si="2">I8/$D8*100</f>
        <v>100</v>
      </c>
      <c r="K8" s="231">
        <f>N8+P8</f>
        <v>21064</v>
      </c>
      <c r="L8" s="231">
        <v>1020</v>
      </c>
      <c r="M8" s="236">
        <f t="shared" ref="M8:M15" si="3">L8/$K8*100</f>
        <v>4.8423851120394987</v>
      </c>
      <c r="N8" s="231">
        <v>1020</v>
      </c>
      <c r="O8" s="236">
        <f t="shared" ref="O8:O15" si="4">N8/$K8*100</f>
        <v>4.8423851120394987</v>
      </c>
      <c r="P8" s="231">
        <v>20044</v>
      </c>
      <c r="Q8" s="236">
        <f t="shared" ref="Q8:Q15" si="5">P8/$K8*100</f>
        <v>95.157614887960506</v>
      </c>
      <c r="R8" s="231">
        <v>20044</v>
      </c>
      <c r="S8" s="236">
        <f t="shared" ref="S8:S15" si="6">R8/$K8*100</f>
        <v>95.157614887960506</v>
      </c>
      <c r="T8" s="2116">
        <v>2</v>
      </c>
      <c r="U8" s="236">
        <v>4</v>
      </c>
      <c r="V8" s="2116">
        <v>10</v>
      </c>
      <c r="W8" s="231">
        <v>560</v>
      </c>
      <c r="X8" s="231">
        <v>0</v>
      </c>
      <c r="Y8" s="231">
        <v>0</v>
      </c>
      <c r="Z8" s="231">
        <v>0</v>
      </c>
      <c r="AA8" s="339">
        <v>0</v>
      </c>
      <c r="AB8" s="339">
        <v>0</v>
      </c>
      <c r="AC8" s="339">
        <v>0</v>
      </c>
    </row>
    <row r="9" spans="1:29" s="355" customFormat="1" ht="14.15" customHeight="1">
      <c r="A9" s="920"/>
      <c r="B9" s="340">
        <v>42</v>
      </c>
      <c r="C9" s="239" t="s">
        <v>690</v>
      </c>
      <c r="D9" s="239">
        <f t="shared" ref="D9:D14" si="7">E9+G9</f>
        <v>6105</v>
      </c>
      <c r="E9" s="239">
        <v>0</v>
      </c>
      <c r="F9" s="244">
        <f t="shared" si="0"/>
        <v>0</v>
      </c>
      <c r="G9" s="239">
        <v>6105</v>
      </c>
      <c r="H9" s="244">
        <f t="shared" si="1"/>
        <v>100</v>
      </c>
      <c r="I9" s="239">
        <v>0</v>
      </c>
      <c r="J9" s="244">
        <f t="shared" si="2"/>
        <v>0</v>
      </c>
      <c r="K9" s="239">
        <f t="shared" ref="K9:K14" si="8">N9+P9</f>
        <v>4158</v>
      </c>
      <c r="L9" s="239">
        <v>4158</v>
      </c>
      <c r="M9" s="244">
        <f t="shared" si="3"/>
        <v>100</v>
      </c>
      <c r="N9" s="239">
        <v>4158</v>
      </c>
      <c r="O9" s="244">
        <f t="shared" si="4"/>
        <v>100</v>
      </c>
      <c r="P9" s="239">
        <v>0</v>
      </c>
      <c r="Q9" s="244">
        <f t="shared" si="5"/>
        <v>0</v>
      </c>
      <c r="R9" s="239">
        <v>0</v>
      </c>
      <c r="S9" s="244">
        <f t="shared" si="6"/>
        <v>0</v>
      </c>
      <c r="T9" s="239">
        <v>0</v>
      </c>
      <c r="U9" s="244">
        <v>0</v>
      </c>
      <c r="V9" s="239">
        <v>0</v>
      </c>
      <c r="W9" s="239">
        <v>0</v>
      </c>
      <c r="X9" s="239">
        <v>0</v>
      </c>
      <c r="Y9" s="239">
        <v>0</v>
      </c>
      <c r="Z9" s="239">
        <v>0</v>
      </c>
      <c r="AA9" s="340">
        <v>0</v>
      </c>
      <c r="AB9" s="340">
        <v>0</v>
      </c>
      <c r="AC9" s="340">
        <v>0</v>
      </c>
    </row>
    <row r="10" spans="1:29" s="355" customFormat="1" ht="14.15" customHeight="1">
      <c r="A10" s="920"/>
      <c r="B10" s="340">
        <v>13</v>
      </c>
      <c r="C10" s="239" t="s">
        <v>691</v>
      </c>
      <c r="D10" s="239">
        <f t="shared" si="7"/>
        <v>23750</v>
      </c>
      <c r="E10" s="239">
        <v>480</v>
      </c>
      <c r="F10" s="244">
        <f t="shared" si="0"/>
        <v>2.0210526315789474</v>
      </c>
      <c r="G10" s="239">
        <v>23270</v>
      </c>
      <c r="H10" s="244">
        <f t="shared" si="1"/>
        <v>97.978947368421061</v>
      </c>
      <c r="I10" s="239">
        <v>200</v>
      </c>
      <c r="J10" s="244">
        <f t="shared" si="2"/>
        <v>0.84210526315789469</v>
      </c>
      <c r="K10" s="239">
        <f t="shared" si="8"/>
        <v>10908</v>
      </c>
      <c r="L10" s="239">
        <v>276</v>
      </c>
      <c r="M10" s="244">
        <f t="shared" si="3"/>
        <v>2.5302530253025304</v>
      </c>
      <c r="N10" s="239">
        <v>276</v>
      </c>
      <c r="O10" s="244">
        <f t="shared" si="4"/>
        <v>2.5302530253025304</v>
      </c>
      <c r="P10" s="239">
        <v>10632</v>
      </c>
      <c r="Q10" s="244">
        <f t="shared" si="5"/>
        <v>97.469746974697472</v>
      </c>
      <c r="R10" s="239">
        <v>100</v>
      </c>
      <c r="S10" s="244">
        <f t="shared" si="6"/>
        <v>0.9167583425009167</v>
      </c>
      <c r="T10" s="2117">
        <v>1</v>
      </c>
      <c r="U10" s="244">
        <v>2</v>
      </c>
      <c r="V10" s="2117">
        <v>9</v>
      </c>
      <c r="W10" s="2117">
        <v>470</v>
      </c>
      <c r="X10" s="239">
        <v>0</v>
      </c>
      <c r="Y10" s="239">
        <v>0</v>
      </c>
      <c r="Z10" s="239">
        <v>0</v>
      </c>
      <c r="AA10" s="340">
        <v>0</v>
      </c>
      <c r="AB10" s="340">
        <v>0</v>
      </c>
      <c r="AC10" s="340">
        <v>0</v>
      </c>
    </row>
    <row r="11" spans="1:29" s="355" customFormat="1" ht="14.15" customHeight="1">
      <c r="A11" s="920"/>
      <c r="B11" s="340">
        <v>90</v>
      </c>
      <c r="C11" s="239" t="s">
        <v>694</v>
      </c>
      <c r="D11" s="239">
        <f t="shared" si="7"/>
        <v>2320</v>
      </c>
      <c r="E11" s="239">
        <v>1710</v>
      </c>
      <c r="F11" s="244">
        <f t="shared" si="0"/>
        <v>73.706896551724128</v>
      </c>
      <c r="G11" s="239">
        <v>610</v>
      </c>
      <c r="H11" s="244">
        <f t="shared" si="1"/>
        <v>26.293103448275861</v>
      </c>
      <c r="I11" s="239">
        <v>610</v>
      </c>
      <c r="J11" s="244">
        <f t="shared" si="2"/>
        <v>26.293103448275861</v>
      </c>
      <c r="K11" s="239">
        <f t="shared" si="8"/>
        <v>3097</v>
      </c>
      <c r="L11" s="239">
        <v>3097</v>
      </c>
      <c r="M11" s="244">
        <f t="shared" si="3"/>
        <v>100</v>
      </c>
      <c r="N11" s="239">
        <v>3097</v>
      </c>
      <c r="O11" s="244">
        <f t="shared" si="4"/>
        <v>100</v>
      </c>
      <c r="P11" s="239">
        <v>0</v>
      </c>
      <c r="Q11" s="244">
        <f t="shared" si="5"/>
        <v>0</v>
      </c>
      <c r="R11" s="239">
        <v>0</v>
      </c>
      <c r="S11" s="244">
        <f t="shared" si="6"/>
        <v>0</v>
      </c>
      <c r="T11" s="2117">
        <v>1</v>
      </c>
      <c r="U11" s="244">
        <v>5.3</v>
      </c>
      <c r="V11" s="2117">
        <v>3</v>
      </c>
      <c r="W11" s="2117">
        <v>200</v>
      </c>
      <c r="X11" s="239">
        <v>0</v>
      </c>
      <c r="Y11" s="239">
        <v>0</v>
      </c>
      <c r="Z11" s="239">
        <v>0</v>
      </c>
      <c r="AA11" s="340">
        <v>0</v>
      </c>
      <c r="AB11" s="340">
        <v>0</v>
      </c>
      <c r="AC11" s="340">
        <v>0</v>
      </c>
    </row>
    <row r="12" spans="1:29" s="355" customFormat="1" ht="14.15" customHeight="1">
      <c r="A12" s="920"/>
      <c r="B12" s="340">
        <v>50</v>
      </c>
      <c r="C12" s="239" t="s">
        <v>696</v>
      </c>
      <c r="D12" s="239">
        <f t="shared" si="7"/>
        <v>5785</v>
      </c>
      <c r="E12" s="239">
        <v>0</v>
      </c>
      <c r="F12" s="244">
        <f t="shared" si="0"/>
        <v>0</v>
      </c>
      <c r="G12" s="239">
        <v>5785</v>
      </c>
      <c r="H12" s="244">
        <f t="shared" si="1"/>
        <v>100</v>
      </c>
      <c r="I12" s="239">
        <v>5785</v>
      </c>
      <c r="J12" s="244">
        <f t="shared" si="2"/>
        <v>100</v>
      </c>
      <c r="K12" s="239">
        <f t="shared" si="8"/>
        <v>3782</v>
      </c>
      <c r="L12" s="239">
        <v>0</v>
      </c>
      <c r="M12" s="244">
        <f t="shared" si="3"/>
        <v>0</v>
      </c>
      <c r="N12" s="239">
        <v>0</v>
      </c>
      <c r="O12" s="244">
        <f t="shared" si="4"/>
        <v>0</v>
      </c>
      <c r="P12" s="239">
        <v>3782</v>
      </c>
      <c r="Q12" s="244">
        <f t="shared" si="5"/>
        <v>100</v>
      </c>
      <c r="R12" s="239">
        <v>0</v>
      </c>
      <c r="S12" s="244">
        <f t="shared" si="6"/>
        <v>0</v>
      </c>
      <c r="T12" s="239">
        <v>3</v>
      </c>
      <c r="U12" s="244">
        <v>15.7</v>
      </c>
      <c r="V12" s="239">
        <v>1</v>
      </c>
      <c r="W12" s="239">
        <v>18</v>
      </c>
      <c r="X12" s="239">
        <v>0</v>
      </c>
      <c r="Y12" s="239">
        <v>0</v>
      </c>
      <c r="Z12" s="239">
        <v>0</v>
      </c>
      <c r="AA12" s="340">
        <v>0</v>
      </c>
      <c r="AB12" s="340">
        <v>0</v>
      </c>
      <c r="AC12" s="340">
        <v>0</v>
      </c>
    </row>
    <row r="13" spans="1:29" s="355" customFormat="1" ht="14.15" customHeight="1">
      <c r="A13" s="920"/>
      <c r="B13" s="340">
        <v>37</v>
      </c>
      <c r="C13" s="239" t="s">
        <v>699</v>
      </c>
      <c r="D13" s="239">
        <f t="shared" si="7"/>
        <v>41949</v>
      </c>
      <c r="E13" s="239">
        <v>16865</v>
      </c>
      <c r="F13" s="244">
        <f t="shared" si="0"/>
        <v>40.203580538272668</v>
      </c>
      <c r="G13" s="239">
        <v>25084</v>
      </c>
      <c r="H13" s="244">
        <f t="shared" si="1"/>
        <v>59.796419461727332</v>
      </c>
      <c r="I13" s="239">
        <v>9573</v>
      </c>
      <c r="J13" s="244">
        <f t="shared" si="2"/>
        <v>22.820567832367875</v>
      </c>
      <c r="K13" s="239">
        <f t="shared" si="8"/>
        <v>39128</v>
      </c>
      <c r="L13" s="239">
        <v>16700</v>
      </c>
      <c r="M13" s="244">
        <f t="shared" si="3"/>
        <v>42.680433449192392</v>
      </c>
      <c r="N13" s="239">
        <v>18649</v>
      </c>
      <c r="O13" s="244">
        <f t="shared" si="4"/>
        <v>47.661521161316706</v>
      </c>
      <c r="P13" s="239">
        <v>20479</v>
      </c>
      <c r="Q13" s="244">
        <f t="shared" si="5"/>
        <v>52.338478838683301</v>
      </c>
      <c r="R13" s="239">
        <v>8284</v>
      </c>
      <c r="S13" s="244">
        <f t="shared" si="6"/>
        <v>21.171539562461664</v>
      </c>
      <c r="T13" s="2117">
        <v>1</v>
      </c>
      <c r="U13" s="2118">
        <v>2.7</v>
      </c>
      <c r="V13" s="239">
        <v>12</v>
      </c>
      <c r="W13" s="239">
        <v>1040</v>
      </c>
      <c r="X13" s="239">
        <v>1</v>
      </c>
      <c r="Y13" s="239">
        <v>60</v>
      </c>
      <c r="Z13" s="239">
        <v>1</v>
      </c>
      <c r="AA13" s="340">
        <v>100</v>
      </c>
      <c r="AB13" s="340">
        <v>0</v>
      </c>
      <c r="AC13" s="340">
        <v>0</v>
      </c>
    </row>
    <row r="14" spans="1:29" s="355" customFormat="1" ht="14.15" customHeight="1" thickBot="1">
      <c r="A14" s="920"/>
      <c r="B14" s="342">
        <v>86</v>
      </c>
      <c r="C14" s="247" t="s">
        <v>701</v>
      </c>
      <c r="D14" s="247">
        <f t="shared" si="7"/>
        <v>3292</v>
      </c>
      <c r="E14" s="247">
        <v>0</v>
      </c>
      <c r="F14" s="251">
        <f t="shared" si="0"/>
        <v>0</v>
      </c>
      <c r="G14" s="247">
        <v>3292</v>
      </c>
      <c r="H14" s="251">
        <f t="shared" si="1"/>
        <v>100</v>
      </c>
      <c r="I14" s="247">
        <v>3292</v>
      </c>
      <c r="J14" s="251">
        <f t="shared" si="2"/>
        <v>100</v>
      </c>
      <c r="K14" s="247">
        <f t="shared" si="8"/>
        <v>1588</v>
      </c>
      <c r="L14" s="247">
        <v>0</v>
      </c>
      <c r="M14" s="251">
        <f t="shared" si="3"/>
        <v>0</v>
      </c>
      <c r="N14" s="247">
        <v>0</v>
      </c>
      <c r="O14" s="251">
        <f t="shared" si="4"/>
        <v>0</v>
      </c>
      <c r="P14" s="247">
        <v>1588</v>
      </c>
      <c r="Q14" s="251">
        <f t="shared" si="5"/>
        <v>100</v>
      </c>
      <c r="R14" s="247">
        <v>1588</v>
      </c>
      <c r="S14" s="251">
        <f t="shared" si="6"/>
        <v>100</v>
      </c>
      <c r="T14" s="247">
        <v>0</v>
      </c>
      <c r="U14" s="251">
        <v>0</v>
      </c>
      <c r="V14" s="247">
        <v>0</v>
      </c>
      <c r="W14" s="247">
        <v>0</v>
      </c>
      <c r="X14" s="247">
        <v>0</v>
      </c>
      <c r="Y14" s="247">
        <v>0</v>
      </c>
      <c r="Z14" s="247">
        <v>0</v>
      </c>
      <c r="AA14" s="342">
        <v>0</v>
      </c>
      <c r="AB14" s="342">
        <v>0</v>
      </c>
      <c r="AC14" s="342">
        <v>0</v>
      </c>
    </row>
    <row r="15" spans="1:29" ht="14.15" customHeight="1" thickTop="1">
      <c r="A15" s="920"/>
      <c r="B15" s="252"/>
      <c r="C15" s="385" t="s">
        <v>34</v>
      </c>
      <c r="D15" s="385">
        <f>SUM(D8:D14)</f>
        <v>100039</v>
      </c>
      <c r="E15" s="385">
        <f>SUM(E8:E14)</f>
        <v>19055</v>
      </c>
      <c r="F15" s="417">
        <f t="shared" si="0"/>
        <v>19.047571447135617</v>
      </c>
      <c r="G15" s="385">
        <f>SUM(G8:G14)</f>
        <v>80984</v>
      </c>
      <c r="H15" s="417">
        <f t="shared" si="1"/>
        <v>80.95242855286439</v>
      </c>
      <c r="I15" s="385">
        <f>SUM(I8:I14)</f>
        <v>36298</v>
      </c>
      <c r="J15" s="417">
        <f t="shared" si="2"/>
        <v>36.283849298773482</v>
      </c>
      <c r="K15" s="259">
        <f>SUM(K8:K14)</f>
        <v>83725</v>
      </c>
      <c r="L15" s="385">
        <f>SUM(L8:L14)</f>
        <v>25251</v>
      </c>
      <c r="M15" s="417">
        <f t="shared" si="3"/>
        <v>30.159450582263364</v>
      </c>
      <c r="N15" s="385">
        <f>SUM(N8:N14)</f>
        <v>27200</v>
      </c>
      <c r="O15" s="417">
        <f t="shared" si="4"/>
        <v>32.487309644670049</v>
      </c>
      <c r="P15" s="259">
        <f>SUM(P8:P14)</f>
        <v>56525</v>
      </c>
      <c r="Q15" s="417">
        <f t="shared" si="5"/>
        <v>67.512690355329951</v>
      </c>
      <c r="R15" s="385">
        <f>SUM(R8:R14)</f>
        <v>30016</v>
      </c>
      <c r="S15" s="417">
        <f t="shared" si="6"/>
        <v>35.850701702000599</v>
      </c>
      <c r="T15" s="385">
        <f>SUM(T8:T14)</f>
        <v>8</v>
      </c>
      <c r="U15" s="385">
        <f t="shared" ref="U15:AC15" si="9">SUM(U8:U14)</f>
        <v>29.7</v>
      </c>
      <c r="V15" s="385">
        <f t="shared" si="9"/>
        <v>35</v>
      </c>
      <c r="W15" s="385">
        <f t="shared" si="9"/>
        <v>2288</v>
      </c>
      <c r="X15" s="385">
        <f t="shared" si="9"/>
        <v>1</v>
      </c>
      <c r="Y15" s="385">
        <f t="shared" si="9"/>
        <v>60</v>
      </c>
      <c r="Z15" s="385">
        <f t="shared" si="9"/>
        <v>1</v>
      </c>
      <c r="AA15" s="385">
        <f t="shared" si="9"/>
        <v>100</v>
      </c>
      <c r="AB15" s="385">
        <f t="shared" si="9"/>
        <v>0</v>
      </c>
      <c r="AC15" s="385">
        <f t="shared" si="9"/>
        <v>0</v>
      </c>
    </row>
    <row r="16" spans="1:29" ht="14.15" customHeight="1">
      <c r="A16" s="920"/>
      <c r="B16" s="263"/>
      <c r="C16" s="357"/>
      <c r="D16" s="357"/>
      <c r="E16" s="357"/>
      <c r="F16" s="418"/>
      <c r="G16" s="357"/>
      <c r="H16" s="418"/>
      <c r="I16" s="357"/>
      <c r="J16" s="418"/>
      <c r="K16" s="270"/>
      <c r="L16" s="357"/>
      <c r="M16" s="418"/>
      <c r="N16" s="357"/>
      <c r="O16" s="418"/>
      <c r="P16" s="270"/>
      <c r="Q16" s="418"/>
      <c r="R16" s="357"/>
      <c r="S16" s="418"/>
      <c r="T16" s="270"/>
      <c r="U16" s="270"/>
      <c r="V16" s="270"/>
      <c r="W16" s="270"/>
      <c r="X16" s="270"/>
      <c r="Y16" s="270"/>
      <c r="Z16" s="270"/>
      <c r="AA16" s="270"/>
      <c r="AB16" s="270"/>
      <c r="AC16" s="270"/>
    </row>
    <row r="17" spans="1:29" s="355" customFormat="1" ht="14.15" customHeight="1">
      <c r="A17" s="920" t="s">
        <v>704</v>
      </c>
      <c r="B17" s="339">
        <v>3</v>
      </c>
      <c r="C17" s="231" t="s">
        <v>705</v>
      </c>
      <c r="D17" s="231">
        <f t="shared" ref="D17:D19" si="10">E17+G17</f>
        <v>91659</v>
      </c>
      <c r="E17" s="231">
        <v>10000</v>
      </c>
      <c r="F17" s="236">
        <f>E17/$D17*100</f>
        <v>10.910003382101047</v>
      </c>
      <c r="G17" s="231">
        <v>81659</v>
      </c>
      <c r="H17" s="236">
        <f>G17/$D17*100</f>
        <v>89.089996617898947</v>
      </c>
      <c r="I17" s="231">
        <v>4200</v>
      </c>
      <c r="J17" s="236">
        <f>I17/$D17*100</f>
        <v>4.5822014204824404</v>
      </c>
      <c r="K17" s="231">
        <f t="shared" ref="K17:K19" si="11">N17+P17</f>
        <v>53613</v>
      </c>
      <c r="L17" s="231">
        <v>18940</v>
      </c>
      <c r="M17" s="236">
        <f>L17/$K17*100</f>
        <v>35.327252718557069</v>
      </c>
      <c r="N17" s="231">
        <v>21293</v>
      </c>
      <c r="O17" s="236">
        <f>N17/$K17*100</f>
        <v>39.716113629157107</v>
      </c>
      <c r="P17" s="231">
        <v>32320</v>
      </c>
      <c r="Q17" s="236">
        <f>P17/$K17*100</f>
        <v>60.283886370842886</v>
      </c>
      <c r="R17" s="231">
        <v>22760</v>
      </c>
      <c r="S17" s="236">
        <f>R17/$K17*100</f>
        <v>42.452390278477239</v>
      </c>
      <c r="T17" s="2116">
        <v>6</v>
      </c>
      <c r="U17" s="2119">
        <v>8.1</v>
      </c>
      <c r="V17" s="231">
        <v>5</v>
      </c>
      <c r="W17" s="231">
        <v>82</v>
      </c>
      <c r="X17" s="231">
        <v>0</v>
      </c>
      <c r="Y17" s="231">
        <v>0</v>
      </c>
      <c r="Z17" s="231">
        <v>0</v>
      </c>
      <c r="AA17" s="339">
        <v>0</v>
      </c>
      <c r="AB17" s="339">
        <v>0</v>
      </c>
      <c r="AC17" s="339">
        <v>0</v>
      </c>
    </row>
    <row r="18" spans="1:29" s="355" customFormat="1" ht="14.15" customHeight="1">
      <c r="A18" s="920"/>
      <c r="B18" s="340">
        <v>53</v>
      </c>
      <c r="C18" s="239" t="s">
        <v>939</v>
      </c>
      <c r="D18" s="239">
        <f t="shared" si="10"/>
        <v>13400</v>
      </c>
      <c r="E18" s="239">
        <v>1059</v>
      </c>
      <c r="F18" s="244">
        <f>E18/$D18*100</f>
        <v>7.9029850746268657</v>
      </c>
      <c r="G18" s="239">
        <v>12341</v>
      </c>
      <c r="H18" s="244">
        <f>G18/$D18*100</f>
        <v>92.097014925373131</v>
      </c>
      <c r="I18" s="239">
        <v>12341</v>
      </c>
      <c r="J18" s="244">
        <f>I18/$D18*100</f>
        <v>92.097014925373131</v>
      </c>
      <c r="K18" s="239">
        <f t="shared" si="11"/>
        <v>19786</v>
      </c>
      <c r="L18" s="239">
        <v>117</v>
      </c>
      <c r="M18" s="244">
        <f>L18/$K18*100</f>
        <v>0.59132720105124836</v>
      </c>
      <c r="N18" s="239">
        <v>117</v>
      </c>
      <c r="O18" s="244">
        <f>N18/$K18*100</f>
        <v>0.59132720105124836</v>
      </c>
      <c r="P18" s="239">
        <v>19669</v>
      </c>
      <c r="Q18" s="244">
        <f>P18/$K18*100</f>
        <v>99.408672798948743</v>
      </c>
      <c r="R18" s="239">
        <v>19669</v>
      </c>
      <c r="S18" s="244">
        <f>R18/$K18*100</f>
        <v>99.408672798948743</v>
      </c>
      <c r="T18" s="239">
        <v>1</v>
      </c>
      <c r="U18" s="244">
        <v>4.4000000000000004</v>
      </c>
      <c r="V18" s="239">
        <v>1</v>
      </c>
      <c r="W18" s="239">
        <v>20</v>
      </c>
      <c r="X18" s="239">
        <v>0</v>
      </c>
      <c r="Y18" s="239">
        <v>0</v>
      </c>
      <c r="Z18" s="239">
        <v>0</v>
      </c>
      <c r="AA18" s="340">
        <v>0</v>
      </c>
      <c r="AB18" s="340">
        <v>0</v>
      </c>
      <c r="AC18" s="340">
        <v>0</v>
      </c>
    </row>
    <row r="19" spans="1:29" s="355" customFormat="1" ht="14.15" customHeight="1" thickBot="1">
      <c r="A19" s="920"/>
      <c r="B19" s="342">
        <v>92</v>
      </c>
      <c r="C19" s="247" t="s">
        <v>819</v>
      </c>
      <c r="D19" s="247">
        <f t="shared" si="10"/>
        <v>6330</v>
      </c>
      <c r="E19" s="247">
        <v>0</v>
      </c>
      <c r="F19" s="251">
        <f>E19/$D19*100</f>
        <v>0</v>
      </c>
      <c r="G19" s="247">
        <v>6330</v>
      </c>
      <c r="H19" s="251">
        <f>G19/$D19*100</f>
        <v>100</v>
      </c>
      <c r="I19" s="247">
        <v>6330</v>
      </c>
      <c r="J19" s="251">
        <f>I19/$D19*100</f>
        <v>100</v>
      </c>
      <c r="K19" s="247">
        <f t="shared" si="11"/>
        <v>3793</v>
      </c>
      <c r="L19" s="247">
        <v>0</v>
      </c>
      <c r="M19" s="251">
        <f>L19/$K19*100</f>
        <v>0</v>
      </c>
      <c r="N19" s="247">
        <v>0</v>
      </c>
      <c r="O19" s="251">
        <f>N19/$K19*100</f>
        <v>0</v>
      </c>
      <c r="P19" s="247">
        <v>3793</v>
      </c>
      <c r="Q19" s="251">
        <f>P19/$K19*100</f>
        <v>100</v>
      </c>
      <c r="R19" s="247">
        <v>3793</v>
      </c>
      <c r="S19" s="251">
        <f>R19/$K19*100</f>
        <v>100</v>
      </c>
      <c r="T19" s="247">
        <v>4</v>
      </c>
      <c r="U19" s="251">
        <v>6</v>
      </c>
      <c r="V19" s="247">
        <v>7</v>
      </c>
      <c r="W19" s="247">
        <v>517</v>
      </c>
      <c r="X19" s="247">
        <v>0</v>
      </c>
      <c r="Y19" s="247">
        <v>0</v>
      </c>
      <c r="Z19" s="247">
        <v>0</v>
      </c>
      <c r="AA19" s="342">
        <v>0</v>
      </c>
      <c r="AB19" s="342">
        <v>0</v>
      </c>
      <c r="AC19" s="342">
        <v>0</v>
      </c>
    </row>
    <row r="20" spans="1:29" ht="14.15" customHeight="1" thickTop="1">
      <c r="A20" s="920"/>
      <c r="B20" s="252"/>
      <c r="C20" s="385" t="s">
        <v>34</v>
      </c>
      <c r="D20" s="385">
        <f>SUM(D17:D19)</f>
        <v>111389</v>
      </c>
      <c r="E20" s="385">
        <f>SUM(E17:E19)</f>
        <v>11059</v>
      </c>
      <c r="F20" s="417">
        <f>E20/$D20*100</f>
        <v>9.9282693982350132</v>
      </c>
      <c r="G20" s="385">
        <f>SUM(G17:G19)</f>
        <v>100330</v>
      </c>
      <c r="H20" s="417">
        <f>G20/$D20*100</f>
        <v>90.071730601764983</v>
      </c>
      <c r="I20" s="385">
        <f>SUM(I17:I19)</f>
        <v>22871</v>
      </c>
      <c r="J20" s="417">
        <f>I20/$D20*100</f>
        <v>20.532548097208881</v>
      </c>
      <c r="K20" s="259">
        <f>SUM(K17:K19)</f>
        <v>77192</v>
      </c>
      <c r="L20" s="385">
        <f>SUM(L17:L19)</f>
        <v>19057</v>
      </c>
      <c r="M20" s="417">
        <f>L20/$K20*100</f>
        <v>24.687791480982487</v>
      </c>
      <c r="N20" s="385">
        <f>SUM(N17:N19)</f>
        <v>21410</v>
      </c>
      <c r="O20" s="417">
        <f>N20/$K20*100</f>
        <v>27.736034822261374</v>
      </c>
      <c r="P20" s="259">
        <f>SUM(P17:P19)</f>
        <v>55782</v>
      </c>
      <c r="Q20" s="417">
        <f>P20/$K20*100</f>
        <v>72.263965177738626</v>
      </c>
      <c r="R20" s="385">
        <f>SUM(R17:R19)</f>
        <v>46222</v>
      </c>
      <c r="S20" s="417">
        <f>R20/$K20*100</f>
        <v>59.879262099699446</v>
      </c>
      <c r="T20" s="385">
        <f t="shared" ref="T20:AC20" si="12">SUM(T17:T19)</f>
        <v>11</v>
      </c>
      <c r="U20" s="385">
        <f t="shared" si="12"/>
        <v>18.5</v>
      </c>
      <c r="V20" s="385">
        <f t="shared" si="12"/>
        <v>13</v>
      </c>
      <c r="W20" s="385">
        <f t="shared" si="12"/>
        <v>619</v>
      </c>
      <c r="X20" s="385">
        <f t="shared" si="12"/>
        <v>0</v>
      </c>
      <c r="Y20" s="385">
        <f t="shared" si="12"/>
        <v>0</v>
      </c>
      <c r="Z20" s="385">
        <f t="shared" si="12"/>
        <v>0</v>
      </c>
      <c r="AA20" s="385">
        <f t="shared" si="12"/>
        <v>0</v>
      </c>
      <c r="AB20" s="385">
        <f t="shared" si="12"/>
        <v>0</v>
      </c>
      <c r="AC20" s="385">
        <f t="shared" si="12"/>
        <v>0</v>
      </c>
    </row>
    <row r="21" spans="1:29" ht="14.15" customHeight="1">
      <c r="A21" s="920"/>
      <c r="B21" s="263"/>
      <c r="C21" s="357"/>
      <c r="D21" s="357"/>
      <c r="E21" s="357"/>
      <c r="F21" s="418"/>
      <c r="G21" s="357"/>
      <c r="H21" s="418"/>
      <c r="I21" s="357"/>
      <c r="J21" s="418"/>
      <c r="K21" s="270"/>
      <c r="L21" s="357"/>
      <c r="M21" s="418"/>
      <c r="N21" s="357"/>
      <c r="O21" s="418"/>
      <c r="P21" s="270"/>
      <c r="Q21" s="418"/>
      <c r="R21" s="357"/>
      <c r="S21" s="418"/>
      <c r="T21" s="270"/>
      <c r="U21" s="270"/>
      <c r="V21" s="270"/>
      <c r="W21" s="270"/>
      <c r="X21" s="270"/>
      <c r="Y21" s="270"/>
      <c r="Z21" s="270"/>
      <c r="AA21" s="270"/>
      <c r="AB21" s="270"/>
      <c r="AC21" s="270"/>
    </row>
    <row r="22" spans="1:29" s="355" customFormat="1" ht="14.15" customHeight="1">
      <c r="A22" s="920" t="s">
        <v>711</v>
      </c>
      <c r="B22" s="339">
        <v>14</v>
      </c>
      <c r="C22" s="231" t="s">
        <v>712</v>
      </c>
      <c r="D22" s="231">
        <f t="shared" ref="D22:D32" si="13">E22+G22</f>
        <v>32200</v>
      </c>
      <c r="E22" s="231">
        <v>7000</v>
      </c>
      <c r="F22" s="236">
        <f t="shared" ref="F22:F33" si="14">E22/$D22*100</f>
        <v>21.739130434782609</v>
      </c>
      <c r="G22" s="231">
        <v>25200</v>
      </c>
      <c r="H22" s="236">
        <f t="shared" ref="H22:H33" si="15">G22/$D22*100</f>
        <v>78.260869565217391</v>
      </c>
      <c r="I22" s="231">
        <v>7300</v>
      </c>
      <c r="J22" s="236">
        <f t="shared" ref="J22:J33" si="16">I22/$D22*100</f>
        <v>22.670807453416149</v>
      </c>
      <c r="K22" s="231">
        <f t="shared" ref="K22:K32" si="17">N22+P22</f>
        <v>12070</v>
      </c>
      <c r="L22" s="231">
        <v>4054</v>
      </c>
      <c r="M22" s="236">
        <f t="shared" ref="M22:M33" si="18">L22/$K22*100</f>
        <v>33.587406793703394</v>
      </c>
      <c r="N22" s="231">
        <v>4054</v>
      </c>
      <c r="O22" s="236">
        <f t="shared" ref="O22:O33" si="19">N22/$K22*100</f>
        <v>33.587406793703394</v>
      </c>
      <c r="P22" s="231">
        <v>8016</v>
      </c>
      <c r="Q22" s="236">
        <f t="shared" ref="Q22:Q33" si="20">P22/$K22*100</f>
        <v>66.412593206296606</v>
      </c>
      <c r="R22" s="231">
        <v>0</v>
      </c>
      <c r="S22" s="236">
        <f t="shared" ref="S22:S33" si="21">R22/$K22*100</f>
        <v>0</v>
      </c>
      <c r="T22" s="2116">
        <v>3</v>
      </c>
      <c r="U22" s="236">
        <v>4</v>
      </c>
      <c r="V22" s="2116">
        <v>0</v>
      </c>
      <c r="W22" s="231">
        <v>0</v>
      </c>
      <c r="X22" s="231">
        <v>0</v>
      </c>
      <c r="Y22" s="231">
        <v>0</v>
      </c>
      <c r="Z22" s="231">
        <v>0</v>
      </c>
      <c r="AA22" s="339">
        <v>0</v>
      </c>
      <c r="AB22" s="339">
        <v>0</v>
      </c>
      <c r="AC22" s="339">
        <v>0</v>
      </c>
    </row>
    <row r="23" spans="1:29" s="355" customFormat="1" ht="14.15" customHeight="1">
      <c r="A23" s="920"/>
      <c r="B23" s="340">
        <v>5</v>
      </c>
      <c r="C23" s="239" t="s">
        <v>714</v>
      </c>
      <c r="D23" s="239">
        <f t="shared" si="13"/>
        <v>42400</v>
      </c>
      <c r="E23" s="239">
        <v>0</v>
      </c>
      <c r="F23" s="244">
        <f t="shared" si="14"/>
        <v>0</v>
      </c>
      <c r="G23" s="239">
        <v>42400</v>
      </c>
      <c r="H23" s="244">
        <f t="shared" si="15"/>
        <v>100</v>
      </c>
      <c r="I23" s="239">
        <v>42400</v>
      </c>
      <c r="J23" s="244">
        <f t="shared" si="16"/>
        <v>100</v>
      </c>
      <c r="K23" s="239">
        <f t="shared" si="17"/>
        <v>17638</v>
      </c>
      <c r="L23" s="239">
        <v>4226</v>
      </c>
      <c r="M23" s="244">
        <f t="shared" si="18"/>
        <v>23.959632611407187</v>
      </c>
      <c r="N23" s="239">
        <v>4226</v>
      </c>
      <c r="O23" s="244">
        <f t="shared" si="19"/>
        <v>23.959632611407187</v>
      </c>
      <c r="P23" s="239">
        <v>13412</v>
      </c>
      <c r="Q23" s="244">
        <f t="shared" si="20"/>
        <v>76.040367388592813</v>
      </c>
      <c r="R23" s="239">
        <v>13412</v>
      </c>
      <c r="S23" s="244">
        <f t="shared" si="21"/>
        <v>76.040367388592813</v>
      </c>
      <c r="T23" s="2117">
        <v>6</v>
      </c>
      <c r="U23" s="2118">
        <v>15</v>
      </c>
      <c r="V23" s="2117">
        <v>1</v>
      </c>
      <c r="W23" s="2117">
        <v>210</v>
      </c>
      <c r="X23" s="239">
        <v>0</v>
      </c>
      <c r="Y23" s="239">
        <v>0</v>
      </c>
      <c r="Z23" s="239">
        <v>0</v>
      </c>
      <c r="AA23" s="340">
        <v>0</v>
      </c>
      <c r="AB23" s="340">
        <v>0</v>
      </c>
      <c r="AC23" s="340">
        <v>0</v>
      </c>
    </row>
    <row r="24" spans="1:29" s="355" customFormat="1" ht="14.15" customHeight="1">
      <c r="A24" s="920"/>
      <c r="B24" s="340">
        <v>45</v>
      </c>
      <c r="C24" s="239" t="s">
        <v>716</v>
      </c>
      <c r="D24" s="239">
        <f t="shared" si="13"/>
        <v>37500</v>
      </c>
      <c r="E24" s="239">
        <v>4727</v>
      </c>
      <c r="F24" s="244">
        <f t="shared" si="14"/>
        <v>12.605333333333332</v>
      </c>
      <c r="G24" s="239">
        <v>32773</v>
      </c>
      <c r="H24" s="244">
        <f t="shared" si="15"/>
        <v>87.394666666666666</v>
      </c>
      <c r="I24" s="239">
        <v>2483</v>
      </c>
      <c r="J24" s="244">
        <f t="shared" si="16"/>
        <v>6.6213333333333333</v>
      </c>
      <c r="K24" s="239">
        <f t="shared" si="17"/>
        <v>22566</v>
      </c>
      <c r="L24" s="239">
        <v>3600</v>
      </c>
      <c r="M24" s="244">
        <f t="shared" si="18"/>
        <v>15.953203935123636</v>
      </c>
      <c r="N24" s="239">
        <v>3600</v>
      </c>
      <c r="O24" s="244">
        <f t="shared" si="19"/>
        <v>15.953203935123636</v>
      </c>
      <c r="P24" s="239">
        <v>18966</v>
      </c>
      <c r="Q24" s="244">
        <f t="shared" si="20"/>
        <v>84.046796064876361</v>
      </c>
      <c r="R24" s="239">
        <v>1149</v>
      </c>
      <c r="S24" s="244">
        <f t="shared" si="21"/>
        <v>5.0917309226269607</v>
      </c>
      <c r="T24" s="239">
        <v>5</v>
      </c>
      <c r="U24" s="244">
        <v>0.1</v>
      </c>
      <c r="V24" s="239">
        <v>0</v>
      </c>
      <c r="W24" s="239">
        <v>0</v>
      </c>
      <c r="X24" s="239">
        <v>0</v>
      </c>
      <c r="Y24" s="239">
        <v>0</v>
      </c>
      <c r="Z24" s="239">
        <v>0</v>
      </c>
      <c r="AA24" s="340">
        <v>0</v>
      </c>
      <c r="AB24" s="340">
        <v>0</v>
      </c>
      <c r="AC24" s="340">
        <v>0</v>
      </c>
    </row>
    <row r="25" spans="1:29" s="355" customFormat="1" ht="14.15" customHeight="1">
      <c r="A25" s="920"/>
      <c r="B25" s="340">
        <v>17</v>
      </c>
      <c r="C25" s="239" t="s">
        <v>717</v>
      </c>
      <c r="D25" s="239">
        <f t="shared" si="13"/>
        <v>12500</v>
      </c>
      <c r="E25" s="239">
        <v>10000</v>
      </c>
      <c r="F25" s="244">
        <f t="shared" si="14"/>
        <v>80</v>
      </c>
      <c r="G25" s="239">
        <v>2500</v>
      </c>
      <c r="H25" s="244">
        <f t="shared" si="15"/>
        <v>20</v>
      </c>
      <c r="I25" s="239">
        <v>0</v>
      </c>
      <c r="J25" s="244">
        <f t="shared" si="16"/>
        <v>0</v>
      </c>
      <c r="K25" s="239">
        <f t="shared" si="17"/>
        <v>6270</v>
      </c>
      <c r="L25" s="239">
        <v>0</v>
      </c>
      <c r="M25" s="244">
        <f t="shared" si="18"/>
        <v>0</v>
      </c>
      <c r="N25" s="239">
        <v>0</v>
      </c>
      <c r="O25" s="244">
        <f t="shared" si="19"/>
        <v>0</v>
      </c>
      <c r="P25" s="239">
        <v>6270</v>
      </c>
      <c r="Q25" s="244">
        <f t="shared" si="20"/>
        <v>100</v>
      </c>
      <c r="R25" s="239">
        <v>0</v>
      </c>
      <c r="S25" s="244">
        <f t="shared" si="21"/>
        <v>0</v>
      </c>
      <c r="T25" s="239">
        <v>1</v>
      </c>
      <c r="U25" s="244">
        <v>4</v>
      </c>
      <c r="V25" s="239">
        <v>1</v>
      </c>
      <c r="W25" s="239">
        <v>156</v>
      </c>
      <c r="X25" s="239">
        <v>0</v>
      </c>
      <c r="Y25" s="239">
        <v>0</v>
      </c>
      <c r="Z25" s="239">
        <v>0</v>
      </c>
      <c r="AA25" s="340">
        <v>0</v>
      </c>
      <c r="AB25" s="340">
        <v>0</v>
      </c>
      <c r="AC25" s="340">
        <v>0</v>
      </c>
    </row>
    <row r="26" spans="1:29" s="355" customFormat="1" ht="14.15" customHeight="1">
      <c r="A26" s="920"/>
      <c r="B26" s="340">
        <v>58</v>
      </c>
      <c r="C26" s="239" t="s">
        <v>719</v>
      </c>
      <c r="D26" s="239">
        <f t="shared" si="13"/>
        <v>20600</v>
      </c>
      <c r="E26" s="239">
        <v>9580</v>
      </c>
      <c r="F26" s="244">
        <f t="shared" si="14"/>
        <v>46.504854368932044</v>
      </c>
      <c r="G26" s="239">
        <v>11020</v>
      </c>
      <c r="H26" s="244">
        <f t="shared" si="15"/>
        <v>53.495145631067963</v>
      </c>
      <c r="I26" s="239">
        <v>3180</v>
      </c>
      <c r="J26" s="244">
        <f t="shared" si="16"/>
        <v>15.436893203883495</v>
      </c>
      <c r="K26" s="239">
        <f t="shared" si="17"/>
        <v>24521</v>
      </c>
      <c r="L26" s="239">
        <v>10620</v>
      </c>
      <c r="M26" s="244">
        <f t="shared" si="18"/>
        <v>43.309816076016475</v>
      </c>
      <c r="N26" s="239">
        <v>10620</v>
      </c>
      <c r="O26" s="244">
        <f t="shared" si="19"/>
        <v>43.309816076016475</v>
      </c>
      <c r="P26" s="239">
        <v>13901</v>
      </c>
      <c r="Q26" s="244">
        <f t="shared" si="20"/>
        <v>56.690183923983525</v>
      </c>
      <c r="R26" s="239">
        <v>10536</v>
      </c>
      <c r="S26" s="244">
        <f t="shared" si="21"/>
        <v>42.967252559031031</v>
      </c>
      <c r="T26" s="239">
        <v>0</v>
      </c>
      <c r="U26" s="244">
        <v>0</v>
      </c>
      <c r="V26" s="239">
        <v>0</v>
      </c>
      <c r="W26" s="239">
        <v>0</v>
      </c>
      <c r="X26" s="239">
        <v>0</v>
      </c>
      <c r="Y26" s="239">
        <v>0</v>
      </c>
      <c r="Z26" s="239">
        <v>0</v>
      </c>
      <c r="AA26" s="340">
        <v>0</v>
      </c>
      <c r="AB26" s="340">
        <v>0</v>
      </c>
      <c r="AC26" s="340">
        <v>0</v>
      </c>
    </row>
    <row r="27" spans="1:29" s="355" customFormat="1" ht="14.15" customHeight="1">
      <c r="A27" s="920"/>
      <c r="B27" s="340">
        <v>56</v>
      </c>
      <c r="C27" s="239" t="s">
        <v>720</v>
      </c>
      <c r="D27" s="239">
        <f t="shared" si="13"/>
        <v>4700</v>
      </c>
      <c r="E27" s="239">
        <v>975</v>
      </c>
      <c r="F27" s="244">
        <f t="shared" si="14"/>
        <v>20.74468085106383</v>
      </c>
      <c r="G27" s="239">
        <v>3725</v>
      </c>
      <c r="H27" s="244">
        <f t="shared" si="15"/>
        <v>79.255319148936167</v>
      </c>
      <c r="I27" s="239">
        <v>3725</v>
      </c>
      <c r="J27" s="244">
        <f t="shared" si="16"/>
        <v>79.255319148936167</v>
      </c>
      <c r="K27" s="239">
        <f t="shared" si="17"/>
        <v>4550</v>
      </c>
      <c r="L27" s="239">
        <v>1432</v>
      </c>
      <c r="M27" s="244">
        <f t="shared" si="18"/>
        <v>31.472527472527474</v>
      </c>
      <c r="N27" s="239">
        <v>1432</v>
      </c>
      <c r="O27" s="244">
        <f t="shared" si="19"/>
        <v>31.472527472527474</v>
      </c>
      <c r="P27" s="239">
        <v>3118</v>
      </c>
      <c r="Q27" s="244">
        <f t="shared" si="20"/>
        <v>68.527472527472526</v>
      </c>
      <c r="R27" s="239">
        <v>3118</v>
      </c>
      <c r="S27" s="244">
        <f t="shared" si="21"/>
        <v>68.527472527472526</v>
      </c>
      <c r="T27" s="239">
        <v>2</v>
      </c>
      <c r="U27" s="244">
        <v>6</v>
      </c>
      <c r="V27" s="239">
        <v>1</v>
      </c>
      <c r="W27" s="239">
        <v>70</v>
      </c>
      <c r="X27" s="239">
        <v>0</v>
      </c>
      <c r="Y27" s="239">
        <v>0</v>
      </c>
      <c r="Z27" s="239">
        <v>0</v>
      </c>
      <c r="AA27" s="340">
        <v>0</v>
      </c>
      <c r="AB27" s="340">
        <v>0</v>
      </c>
      <c r="AC27" s="340">
        <v>0</v>
      </c>
    </row>
    <row r="28" spans="1:29" s="355" customFormat="1" ht="14.15" customHeight="1">
      <c r="A28" s="920"/>
      <c r="B28" s="340">
        <v>71</v>
      </c>
      <c r="C28" s="239" t="s">
        <v>721</v>
      </c>
      <c r="D28" s="239">
        <f t="shared" si="13"/>
        <v>3200</v>
      </c>
      <c r="E28" s="239">
        <v>0</v>
      </c>
      <c r="F28" s="244">
        <f t="shared" si="14"/>
        <v>0</v>
      </c>
      <c r="G28" s="239">
        <v>3200</v>
      </c>
      <c r="H28" s="244">
        <f t="shared" si="15"/>
        <v>100</v>
      </c>
      <c r="I28" s="239">
        <v>3200</v>
      </c>
      <c r="J28" s="244">
        <f t="shared" si="16"/>
        <v>100</v>
      </c>
      <c r="K28" s="239">
        <f t="shared" si="17"/>
        <v>2866</v>
      </c>
      <c r="L28" s="239">
        <v>0</v>
      </c>
      <c r="M28" s="244">
        <f t="shared" si="18"/>
        <v>0</v>
      </c>
      <c r="N28" s="239">
        <v>0</v>
      </c>
      <c r="O28" s="244">
        <f t="shared" si="19"/>
        <v>0</v>
      </c>
      <c r="P28" s="239">
        <v>2866</v>
      </c>
      <c r="Q28" s="244">
        <f t="shared" si="20"/>
        <v>100</v>
      </c>
      <c r="R28" s="239">
        <v>2866</v>
      </c>
      <c r="S28" s="244">
        <f t="shared" si="21"/>
        <v>100</v>
      </c>
      <c r="T28" s="2117">
        <v>0</v>
      </c>
      <c r="U28" s="2118">
        <v>0</v>
      </c>
      <c r="V28" s="239">
        <v>0</v>
      </c>
      <c r="W28" s="239">
        <v>0</v>
      </c>
      <c r="X28" s="239">
        <v>0</v>
      </c>
      <c r="Y28" s="239">
        <v>0</v>
      </c>
      <c r="Z28" s="239">
        <v>0</v>
      </c>
      <c r="AA28" s="340">
        <v>0</v>
      </c>
      <c r="AB28" s="340">
        <v>0</v>
      </c>
      <c r="AC28" s="340">
        <v>0</v>
      </c>
    </row>
    <row r="29" spans="1:29" s="355" customFormat="1" ht="14.15" customHeight="1">
      <c r="A29" s="920"/>
      <c r="B29" s="340">
        <v>78</v>
      </c>
      <c r="C29" s="239" t="s">
        <v>722</v>
      </c>
      <c r="D29" s="239">
        <f t="shared" si="13"/>
        <v>4450</v>
      </c>
      <c r="E29" s="239">
        <v>0</v>
      </c>
      <c r="F29" s="244">
        <f t="shared" si="14"/>
        <v>0</v>
      </c>
      <c r="G29" s="239">
        <v>4450</v>
      </c>
      <c r="H29" s="244">
        <f t="shared" si="15"/>
        <v>100</v>
      </c>
      <c r="I29" s="239">
        <v>4450</v>
      </c>
      <c r="J29" s="244">
        <f t="shared" si="16"/>
        <v>100</v>
      </c>
      <c r="K29" s="239">
        <f t="shared" si="17"/>
        <v>2919</v>
      </c>
      <c r="L29" s="239">
        <v>0</v>
      </c>
      <c r="M29" s="244">
        <f t="shared" si="18"/>
        <v>0</v>
      </c>
      <c r="N29" s="239">
        <v>0</v>
      </c>
      <c r="O29" s="244">
        <f t="shared" si="19"/>
        <v>0</v>
      </c>
      <c r="P29" s="239">
        <v>2919</v>
      </c>
      <c r="Q29" s="244">
        <f t="shared" si="20"/>
        <v>100</v>
      </c>
      <c r="R29" s="239">
        <v>2919</v>
      </c>
      <c r="S29" s="244">
        <f t="shared" si="21"/>
        <v>100</v>
      </c>
      <c r="T29" s="239">
        <v>0</v>
      </c>
      <c r="U29" s="244">
        <v>0</v>
      </c>
      <c r="V29" s="239">
        <v>0</v>
      </c>
      <c r="W29" s="239">
        <v>0</v>
      </c>
      <c r="X29" s="239">
        <v>0</v>
      </c>
      <c r="Y29" s="239">
        <v>0</v>
      </c>
      <c r="Z29" s="239">
        <v>0</v>
      </c>
      <c r="AA29" s="340">
        <v>0</v>
      </c>
      <c r="AB29" s="340">
        <v>0</v>
      </c>
      <c r="AC29" s="340">
        <v>0</v>
      </c>
    </row>
    <row r="30" spans="1:29" s="355" customFormat="1" ht="13.5" customHeight="1">
      <c r="A30" s="920"/>
      <c r="B30" s="340">
        <v>79</v>
      </c>
      <c r="C30" s="239" t="s">
        <v>723</v>
      </c>
      <c r="D30" s="239">
        <f t="shared" si="13"/>
        <v>2194</v>
      </c>
      <c r="E30" s="239">
        <v>0</v>
      </c>
      <c r="F30" s="244">
        <f t="shared" si="14"/>
        <v>0</v>
      </c>
      <c r="G30" s="239">
        <v>2194</v>
      </c>
      <c r="H30" s="244">
        <f t="shared" si="15"/>
        <v>100</v>
      </c>
      <c r="I30" s="239">
        <v>2194</v>
      </c>
      <c r="J30" s="244">
        <f t="shared" si="16"/>
        <v>100</v>
      </c>
      <c r="K30" s="239">
        <f t="shared" si="17"/>
        <v>1190</v>
      </c>
      <c r="L30" s="239">
        <v>0</v>
      </c>
      <c r="M30" s="244">
        <f t="shared" si="18"/>
        <v>0</v>
      </c>
      <c r="N30" s="239">
        <v>0</v>
      </c>
      <c r="O30" s="244">
        <f t="shared" si="19"/>
        <v>0</v>
      </c>
      <c r="P30" s="239">
        <v>1190</v>
      </c>
      <c r="Q30" s="244">
        <f t="shared" si="20"/>
        <v>100</v>
      </c>
      <c r="R30" s="239">
        <v>1190</v>
      </c>
      <c r="S30" s="244">
        <f t="shared" si="21"/>
        <v>100</v>
      </c>
      <c r="T30" s="239">
        <v>0</v>
      </c>
      <c r="U30" s="244">
        <v>0</v>
      </c>
      <c r="V30" s="239">
        <v>0</v>
      </c>
      <c r="W30" s="239">
        <v>0</v>
      </c>
      <c r="X30" s="239">
        <v>0</v>
      </c>
      <c r="Y30" s="239">
        <v>0</v>
      </c>
      <c r="Z30" s="239">
        <v>0</v>
      </c>
      <c r="AA30" s="340">
        <v>0</v>
      </c>
      <c r="AB30" s="340">
        <v>0</v>
      </c>
      <c r="AC30" s="340">
        <v>0</v>
      </c>
    </row>
    <row r="31" spans="1:29" s="355" customFormat="1" ht="14.15" customHeight="1">
      <c r="A31" s="920"/>
      <c r="B31" s="340">
        <v>80</v>
      </c>
      <c r="C31" s="239" t="s">
        <v>724</v>
      </c>
      <c r="D31" s="239">
        <f t="shared" si="13"/>
        <v>3400</v>
      </c>
      <c r="E31" s="239">
        <v>0</v>
      </c>
      <c r="F31" s="244">
        <f t="shared" si="14"/>
        <v>0</v>
      </c>
      <c r="G31" s="239">
        <v>3400</v>
      </c>
      <c r="H31" s="244">
        <f t="shared" si="15"/>
        <v>100</v>
      </c>
      <c r="I31" s="239">
        <v>3400</v>
      </c>
      <c r="J31" s="244">
        <f t="shared" si="16"/>
        <v>100</v>
      </c>
      <c r="K31" s="239">
        <f t="shared" si="17"/>
        <v>2370</v>
      </c>
      <c r="L31" s="239">
        <v>0</v>
      </c>
      <c r="M31" s="244">
        <f t="shared" si="18"/>
        <v>0</v>
      </c>
      <c r="N31" s="239">
        <v>0</v>
      </c>
      <c r="O31" s="244">
        <f t="shared" si="19"/>
        <v>0</v>
      </c>
      <c r="P31" s="239">
        <v>2370</v>
      </c>
      <c r="Q31" s="244">
        <f t="shared" si="20"/>
        <v>100</v>
      </c>
      <c r="R31" s="239">
        <v>2370</v>
      </c>
      <c r="S31" s="244">
        <f t="shared" si="21"/>
        <v>100</v>
      </c>
      <c r="T31" s="239">
        <v>7</v>
      </c>
      <c r="U31" s="244">
        <v>24</v>
      </c>
      <c r="V31" s="239">
        <v>1</v>
      </c>
      <c r="W31" s="239">
        <v>20</v>
      </c>
      <c r="X31" s="239">
        <v>0</v>
      </c>
      <c r="Y31" s="239">
        <v>0</v>
      </c>
      <c r="Z31" s="239">
        <v>0</v>
      </c>
      <c r="AA31" s="340">
        <v>0</v>
      </c>
      <c r="AB31" s="340">
        <v>0</v>
      </c>
      <c r="AC31" s="340">
        <v>0</v>
      </c>
    </row>
    <row r="32" spans="1:29" s="355" customFormat="1" ht="14.15" customHeight="1" thickBot="1">
      <c r="A32" s="920"/>
      <c r="B32" s="342">
        <v>85</v>
      </c>
      <c r="C32" s="247" t="s">
        <v>725</v>
      </c>
      <c r="D32" s="247">
        <f t="shared" si="13"/>
        <v>2045</v>
      </c>
      <c r="E32" s="247">
        <v>0</v>
      </c>
      <c r="F32" s="251">
        <f t="shared" si="14"/>
        <v>0</v>
      </c>
      <c r="G32" s="247">
        <v>2045</v>
      </c>
      <c r="H32" s="251">
        <f t="shared" si="15"/>
        <v>100</v>
      </c>
      <c r="I32" s="247">
        <v>2045</v>
      </c>
      <c r="J32" s="251">
        <f t="shared" si="16"/>
        <v>100</v>
      </c>
      <c r="K32" s="247">
        <f t="shared" si="17"/>
        <v>3944</v>
      </c>
      <c r="L32" s="247">
        <v>0</v>
      </c>
      <c r="M32" s="251">
        <f t="shared" si="18"/>
        <v>0</v>
      </c>
      <c r="N32" s="247">
        <v>0</v>
      </c>
      <c r="O32" s="251">
        <f t="shared" si="19"/>
        <v>0</v>
      </c>
      <c r="P32" s="247">
        <v>3944</v>
      </c>
      <c r="Q32" s="251">
        <f t="shared" si="20"/>
        <v>100</v>
      </c>
      <c r="R32" s="247">
        <v>3944</v>
      </c>
      <c r="S32" s="251">
        <f t="shared" si="21"/>
        <v>100</v>
      </c>
      <c r="T32" s="247">
        <v>0</v>
      </c>
      <c r="U32" s="251">
        <v>0</v>
      </c>
      <c r="V32" s="247">
        <v>0</v>
      </c>
      <c r="W32" s="247">
        <v>0</v>
      </c>
      <c r="X32" s="247">
        <v>0</v>
      </c>
      <c r="Y32" s="247">
        <v>0</v>
      </c>
      <c r="Z32" s="247">
        <v>0</v>
      </c>
      <c r="AA32" s="342">
        <v>0</v>
      </c>
      <c r="AB32" s="342">
        <v>0</v>
      </c>
      <c r="AC32" s="342">
        <v>0</v>
      </c>
    </row>
    <row r="33" spans="1:29" ht="14.15" customHeight="1" thickTop="1">
      <c r="A33" s="920"/>
      <c r="B33" s="252"/>
      <c r="C33" s="385" t="s">
        <v>34</v>
      </c>
      <c r="D33" s="385">
        <f>SUM(D22:D32)</f>
        <v>165189</v>
      </c>
      <c r="E33" s="385">
        <f>SUM(E22:E32)</f>
        <v>32282</v>
      </c>
      <c r="F33" s="417">
        <f t="shared" si="14"/>
        <v>19.542463481224537</v>
      </c>
      <c r="G33" s="385">
        <f>SUM(G22:G32)</f>
        <v>132907</v>
      </c>
      <c r="H33" s="417">
        <f t="shared" si="15"/>
        <v>80.45753651877547</v>
      </c>
      <c r="I33" s="385">
        <f>SUM(I22:I32)</f>
        <v>74377</v>
      </c>
      <c r="J33" s="417">
        <f t="shared" si="16"/>
        <v>45.025395153430317</v>
      </c>
      <c r="K33" s="259">
        <f>SUM(K22:K32)</f>
        <v>100904</v>
      </c>
      <c r="L33" s="385">
        <f>SUM(L22:L32)</f>
        <v>23932</v>
      </c>
      <c r="M33" s="417">
        <f t="shared" si="18"/>
        <v>23.717592959644811</v>
      </c>
      <c r="N33" s="385">
        <f>SUM(N22:N32)</f>
        <v>23932</v>
      </c>
      <c r="O33" s="417">
        <f t="shared" si="19"/>
        <v>23.717592959644811</v>
      </c>
      <c r="P33" s="259">
        <f>SUM(P22:P32)</f>
        <v>76972</v>
      </c>
      <c r="Q33" s="417">
        <f t="shared" si="20"/>
        <v>76.282407040355196</v>
      </c>
      <c r="R33" s="385">
        <f>SUM(R22:R32)</f>
        <v>41504</v>
      </c>
      <c r="S33" s="417">
        <f t="shared" si="21"/>
        <v>41.132165226353763</v>
      </c>
      <c r="T33" s="385">
        <f t="shared" ref="T33:AC33" si="22">SUM(T22:T32)</f>
        <v>24</v>
      </c>
      <c r="U33" s="385">
        <f t="shared" si="22"/>
        <v>53.1</v>
      </c>
      <c r="V33" s="385">
        <f t="shared" si="22"/>
        <v>4</v>
      </c>
      <c r="W33" s="385">
        <f t="shared" si="22"/>
        <v>456</v>
      </c>
      <c r="X33" s="385">
        <f t="shared" si="22"/>
        <v>0</v>
      </c>
      <c r="Y33" s="385">
        <f t="shared" si="22"/>
        <v>0</v>
      </c>
      <c r="Z33" s="385">
        <f t="shared" si="22"/>
        <v>0</v>
      </c>
      <c r="AA33" s="385">
        <f t="shared" si="22"/>
        <v>0</v>
      </c>
      <c r="AB33" s="385">
        <f t="shared" si="22"/>
        <v>0</v>
      </c>
      <c r="AC33" s="385">
        <f t="shared" si="22"/>
        <v>0</v>
      </c>
    </row>
    <row r="34" spans="1:29" ht="14.15" customHeight="1">
      <c r="A34" s="920"/>
      <c r="B34" s="263"/>
      <c r="C34" s="357"/>
      <c r="D34" s="357"/>
      <c r="E34" s="357"/>
      <c r="F34" s="418"/>
      <c r="G34" s="357"/>
      <c r="H34" s="418"/>
      <c r="I34" s="357"/>
      <c r="J34" s="418"/>
      <c r="K34" s="270"/>
      <c r="L34" s="357"/>
      <c r="M34" s="418"/>
      <c r="N34" s="357"/>
      <c r="O34" s="418"/>
      <c r="P34" s="270"/>
      <c r="Q34" s="418"/>
      <c r="R34" s="357"/>
      <c r="S34" s="418"/>
      <c r="T34" s="270"/>
      <c r="U34" s="270"/>
      <c r="V34" s="270"/>
      <c r="W34" s="270"/>
      <c r="X34" s="270"/>
      <c r="Y34" s="270"/>
      <c r="Z34" s="270"/>
      <c r="AA34" s="270"/>
      <c r="AB34" s="270"/>
      <c r="AC34" s="270"/>
    </row>
    <row r="35" spans="1:29" s="355" customFormat="1" ht="14.15" customHeight="1">
      <c r="A35" s="920" t="s">
        <v>512</v>
      </c>
      <c r="B35" s="339">
        <v>35</v>
      </c>
      <c r="C35" s="231" t="s">
        <v>726</v>
      </c>
      <c r="D35" s="231">
        <f t="shared" ref="D35:D42" si="23">E35+G35</f>
        <v>11116</v>
      </c>
      <c r="E35" s="231">
        <v>0</v>
      </c>
      <c r="F35" s="236">
        <f t="shared" ref="F35:F43" si="24">E35/$D35*100</f>
        <v>0</v>
      </c>
      <c r="G35" s="231">
        <v>11116</v>
      </c>
      <c r="H35" s="236">
        <f t="shared" ref="H35:H43" si="25">G35/$D35*100</f>
        <v>100</v>
      </c>
      <c r="I35" s="231">
        <v>0</v>
      </c>
      <c r="J35" s="236">
        <f t="shared" ref="J35:J43" si="26">I35/$D35*100</f>
        <v>0</v>
      </c>
      <c r="K35" s="231">
        <f t="shared" ref="K35:K42" si="27">N35+P35</f>
        <v>30317</v>
      </c>
      <c r="L35" s="231">
        <v>195</v>
      </c>
      <c r="M35" s="236">
        <f t="shared" ref="M35:M43" si="28">L35/$K35*100</f>
        <v>0.64320348319424747</v>
      </c>
      <c r="N35" s="231">
        <v>3154</v>
      </c>
      <c r="O35" s="236">
        <f t="shared" ref="O35:O43" si="29">N35/$K35*100</f>
        <v>10.403404030741829</v>
      </c>
      <c r="P35" s="231">
        <v>27163</v>
      </c>
      <c r="Q35" s="236">
        <f t="shared" ref="Q35:Q43" si="30">P35/$K35*100</f>
        <v>89.596595969258175</v>
      </c>
      <c r="R35" s="231">
        <v>0</v>
      </c>
      <c r="S35" s="236">
        <f t="shared" ref="S35:S43" si="31">R35/$K35*100</f>
        <v>0</v>
      </c>
      <c r="T35" s="2116">
        <v>6</v>
      </c>
      <c r="U35" s="2119">
        <v>11.6</v>
      </c>
      <c r="V35" s="231">
        <v>3</v>
      </c>
      <c r="W35" s="231">
        <v>744</v>
      </c>
      <c r="X35" s="231">
        <v>0</v>
      </c>
      <c r="Y35" s="231">
        <v>0</v>
      </c>
      <c r="Z35" s="231">
        <v>0</v>
      </c>
      <c r="AA35" s="339">
        <v>0</v>
      </c>
      <c r="AB35" s="339">
        <v>0</v>
      </c>
      <c r="AC35" s="339">
        <v>0</v>
      </c>
    </row>
    <row r="36" spans="1:29" s="355" customFormat="1" ht="14.15" customHeight="1">
      <c r="A36" s="920"/>
      <c r="B36" s="340">
        <v>29</v>
      </c>
      <c r="C36" s="239" t="s">
        <v>727</v>
      </c>
      <c r="D36" s="239">
        <f t="shared" si="23"/>
        <v>10840</v>
      </c>
      <c r="E36" s="239">
        <v>8421</v>
      </c>
      <c r="F36" s="244">
        <f t="shared" si="24"/>
        <v>77.684501845018445</v>
      </c>
      <c r="G36" s="239">
        <v>2419</v>
      </c>
      <c r="H36" s="244">
        <f t="shared" si="25"/>
        <v>22.315498154981551</v>
      </c>
      <c r="I36" s="239">
        <v>0</v>
      </c>
      <c r="J36" s="244">
        <f t="shared" si="26"/>
        <v>0</v>
      </c>
      <c r="K36" s="239">
        <f t="shared" si="27"/>
        <v>10507</v>
      </c>
      <c r="L36" s="239">
        <v>7196</v>
      </c>
      <c r="M36" s="244">
        <f t="shared" si="28"/>
        <v>68.48767488341106</v>
      </c>
      <c r="N36" s="239">
        <v>7752</v>
      </c>
      <c r="O36" s="244">
        <f t="shared" si="29"/>
        <v>73.779385171790238</v>
      </c>
      <c r="P36" s="239">
        <v>2755</v>
      </c>
      <c r="Q36" s="244">
        <f t="shared" si="30"/>
        <v>26.220614828209765</v>
      </c>
      <c r="R36" s="239">
        <v>0</v>
      </c>
      <c r="S36" s="244">
        <f t="shared" si="31"/>
        <v>0</v>
      </c>
      <c r="T36" s="239">
        <v>5</v>
      </c>
      <c r="U36" s="244">
        <v>7.2</v>
      </c>
      <c r="V36" s="239">
        <v>0</v>
      </c>
      <c r="W36" s="239">
        <v>0</v>
      </c>
      <c r="X36" s="239">
        <v>0</v>
      </c>
      <c r="Y36" s="239">
        <v>0</v>
      </c>
      <c r="Z36" s="239">
        <v>0</v>
      </c>
      <c r="AA36" s="340">
        <v>0</v>
      </c>
      <c r="AB36" s="340">
        <v>0</v>
      </c>
      <c r="AC36" s="340">
        <v>0</v>
      </c>
    </row>
    <row r="37" spans="1:29" s="355" customFormat="1" ht="14.15" customHeight="1">
      <c r="A37" s="920"/>
      <c r="B37" s="340">
        <v>25</v>
      </c>
      <c r="C37" s="239" t="s">
        <v>728</v>
      </c>
      <c r="D37" s="239">
        <f t="shared" si="23"/>
        <v>9500</v>
      </c>
      <c r="E37" s="239">
        <v>590</v>
      </c>
      <c r="F37" s="244">
        <f t="shared" si="24"/>
        <v>6.2105263157894743</v>
      </c>
      <c r="G37" s="239">
        <v>8910</v>
      </c>
      <c r="H37" s="244">
        <f t="shared" si="25"/>
        <v>93.78947368421052</v>
      </c>
      <c r="I37" s="239">
        <v>8910</v>
      </c>
      <c r="J37" s="244">
        <f t="shared" si="26"/>
        <v>93.78947368421052</v>
      </c>
      <c r="K37" s="239">
        <f t="shared" si="27"/>
        <v>5445</v>
      </c>
      <c r="L37" s="239">
        <v>1622</v>
      </c>
      <c r="M37" s="244">
        <f t="shared" si="28"/>
        <v>29.788797061524335</v>
      </c>
      <c r="N37" s="239">
        <v>1622</v>
      </c>
      <c r="O37" s="244">
        <f t="shared" si="29"/>
        <v>29.788797061524335</v>
      </c>
      <c r="P37" s="239">
        <v>3823</v>
      </c>
      <c r="Q37" s="244">
        <f t="shared" si="30"/>
        <v>70.211202938475665</v>
      </c>
      <c r="R37" s="239">
        <v>3451</v>
      </c>
      <c r="S37" s="244">
        <f t="shared" si="31"/>
        <v>63.379247015610652</v>
      </c>
      <c r="T37" s="239">
        <v>1</v>
      </c>
      <c r="U37" s="244">
        <v>24</v>
      </c>
      <c r="V37" s="239">
        <v>0</v>
      </c>
      <c r="W37" s="239">
        <v>0</v>
      </c>
      <c r="X37" s="239">
        <v>0</v>
      </c>
      <c r="Y37" s="239">
        <v>0</v>
      </c>
      <c r="Z37" s="239">
        <v>0</v>
      </c>
      <c r="AA37" s="340">
        <v>0</v>
      </c>
      <c r="AB37" s="340">
        <v>0</v>
      </c>
      <c r="AC37" s="340">
        <v>0</v>
      </c>
    </row>
    <row r="38" spans="1:29" s="355" customFormat="1" ht="14.15" customHeight="1">
      <c r="A38" s="920"/>
      <c r="B38" s="340">
        <v>59</v>
      </c>
      <c r="C38" s="239" t="s">
        <v>730</v>
      </c>
      <c r="D38" s="239">
        <f t="shared" si="23"/>
        <v>3360</v>
      </c>
      <c r="E38" s="239">
        <v>0</v>
      </c>
      <c r="F38" s="244">
        <f t="shared" si="24"/>
        <v>0</v>
      </c>
      <c r="G38" s="239">
        <v>3360</v>
      </c>
      <c r="H38" s="244">
        <f t="shared" si="25"/>
        <v>100</v>
      </c>
      <c r="I38" s="239">
        <v>0</v>
      </c>
      <c r="J38" s="244">
        <f t="shared" si="26"/>
        <v>0</v>
      </c>
      <c r="K38" s="239">
        <f t="shared" si="27"/>
        <v>7480</v>
      </c>
      <c r="L38" s="239">
        <v>2000</v>
      </c>
      <c r="M38" s="244">
        <f t="shared" si="28"/>
        <v>26.737967914438503</v>
      </c>
      <c r="N38" s="239">
        <v>2000</v>
      </c>
      <c r="O38" s="244">
        <f t="shared" si="29"/>
        <v>26.737967914438503</v>
      </c>
      <c r="P38" s="239">
        <v>5480</v>
      </c>
      <c r="Q38" s="244">
        <f t="shared" si="30"/>
        <v>73.262032085561501</v>
      </c>
      <c r="R38" s="239">
        <v>0</v>
      </c>
      <c r="S38" s="244">
        <f t="shared" si="31"/>
        <v>0</v>
      </c>
      <c r="T38" s="239">
        <v>3</v>
      </c>
      <c r="U38" s="244">
        <v>10.9</v>
      </c>
      <c r="V38" s="239">
        <v>0</v>
      </c>
      <c r="W38" s="239">
        <v>0</v>
      </c>
      <c r="X38" s="239">
        <v>0</v>
      </c>
      <c r="Y38" s="239">
        <v>0</v>
      </c>
      <c r="Z38" s="239">
        <v>0</v>
      </c>
      <c r="AA38" s="340">
        <v>0</v>
      </c>
      <c r="AB38" s="340">
        <v>0</v>
      </c>
      <c r="AC38" s="340">
        <v>0</v>
      </c>
    </row>
    <row r="39" spans="1:29" s="355" customFormat="1" ht="14.15" customHeight="1">
      <c r="A39" s="920"/>
      <c r="B39" s="340">
        <v>66</v>
      </c>
      <c r="C39" s="239" t="s">
        <v>732</v>
      </c>
      <c r="D39" s="239">
        <f t="shared" si="23"/>
        <v>5961</v>
      </c>
      <c r="E39" s="239">
        <v>0</v>
      </c>
      <c r="F39" s="244">
        <f t="shared" si="24"/>
        <v>0</v>
      </c>
      <c r="G39" s="239">
        <v>5961</v>
      </c>
      <c r="H39" s="244">
        <f t="shared" si="25"/>
        <v>100</v>
      </c>
      <c r="I39" s="239">
        <v>0</v>
      </c>
      <c r="J39" s="244">
        <f t="shared" si="26"/>
        <v>0</v>
      </c>
      <c r="K39" s="239">
        <f t="shared" si="27"/>
        <v>5465</v>
      </c>
      <c r="L39" s="239">
        <v>4200</v>
      </c>
      <c r="M39" s="244">
        <f t="shared" si="28"/>
        <v>76.85269899359561</v>
      </c>
      <c r="N39" s="239">
        <v>4200</v>
      </c>
      <c r="O39" s="244">
        <f t="shared" si="29"/>
        <v>76.85269899359561</v>
      </c>
      <c r="P39" s="239">
        <v>1265</v>
      </c>
      <c r="Q39" s="244">
        <f t="shared" si="30"/>
        <v>23.14730100640439</v>
      </c>
      <c r="R39" s="239">
        <v>1265</v>
      </c>
      <c r="S39" s="244">
        <f t="shared" si="31"/>
        <v>23.14730100640439</v>
      </c>
      <c r="T39" s="239">
        <v>6</v>
      </c>
      <c r="U39" s="244">
        <v>5.9</v>
      </c>
      <c r="V39" s="239">
        <v>0</v>
      </c>
      <c r="W39" s="239">
        <v>0</v>
      </c>
      <c r="X39" s="239">
        <v>0</v>
      </c>
      <c r="Y39" s="239">
        <v>0</v>
      </c>
      <c r="Z39" s="239">
        <v>0</v>
      </c>
      <c r="AA39" s="340">
        <v>0</v>
      </c>
      <c r="AB39" s="340">
        <v>0</v>
      </c>
      <c r="AC39" s="340">
        <v>0</v>
      </c>
    </row>
    <row r="40" spans="1:29" s="355" customFormat="1" ht="14.15" customHeight="1">
      <c r="A40" s="920"/>
      <c r="B40" s="340">
        <v>64</v>
      </c>
      <c r="C40" s="239" t="s">
        <v>734</v>
      </c>
      <c r="D40" s="239">
        <f t="shared" si="23"/>
        <v>1500</v>
      </c>
      <c r="E40" s="239">
        <v>1500</v>
      </c>
      <c r="F40" s="244">
        <f t="shared" si="24"/>
        <v>100</v>
      </c>
      <c r="G40" s="239">
        <v>0</v>
      </c>
      <c r="H40" s="244">
        <f t="shared" si="25"/>
        <v>0</v>
      </c>
      <c r="I40" s="239">
        <v>0</v>
      </c>
      <c r="J40" s="244">
        <f t="shared" si="26"/>
        <v>0</v>
      </c>
      <c r="K40" s="239">
        <f t="shared" si="27"/>
        <v>3073</v>
      </c>
      <c r="L40" s="239">
        <v>3073</v>
      </c>
      <c r="M40" s="244">
        <f t="shared" si="28"/>
        <v>100</v>
      </c>
      <c r="N40" s="239">
        <v>3073</v>
      </c>
      <c r="O40" s="244">
        <f t="shared" si="29"/>
        <v>100</v>
      </c>
      <c r="P40" s="239">
        <v>0</v>
      </c>
      <c r="Q40" s="244">
        <f t="shared" si="30"/>
        <v>0</v>
      </c>
      <c r="R40" s="239">
        <v>0</v>
      </c>
      <c r="S40" s="244">
        <f t="shared" si="31"/>
        <v>0</v>
      </c>
      <c r="T40" s="239">
        <v>3</v>
      </c>
      <c r="U40" s="244">
        <v>13.5</v>
      </c>
      <c r="V40" s="239">
        <v>0</v>
      </c>
      <c r="W40" s="239">
        <v>0</v>
      </c>
      <c r="X40" s="239">
        <v>0</v>
      </c>
      <c r="Y40" s="239">
        <v>0</v>
      </c>
      <c r="Z40" s="239">
        <v>0</v>
      </c>
      <c r="AA40" s="340">
        <v>0</v>
      </c>
      <c r="AB40" s="340">
        <v>4</v>
      </c>
      <c r="AC40" s="340">
        <v>160</v>
      </c>
    </row>
    <row r="41" spans="1:29" s="355" customFormat="1" ht="14.15" customHeight="1">
      <c r="A41" s="920"/>
      <c r="B41" s="340">
        <v>88</v>
      </c>
      <c r="C41" s="239" t="s">
        <v>735</v>
      </c>
      <c r="D41" s="239">
        <f t="shared" si="23"/>
        <v>2000</v>
      </c>
      <c r="E41" s="239">
        <v>0</v>
      </c>
      <c r="F41" s="244">
        <f t="shared" si="24"/>
        <v>0</v>
      </c>
      <c r="G41" s="239">
        <v>2000</v>
      </c>
      <c r="H41" s="244">
        <f t="shared" si="25"/>
        <v>100</v>
      </c>
      <c r="I41" s="239">
        <v>2000</v>
      </c>
      <c r="J41" s="244">
        <f t="shared" si="26"/>
        <v>100</v>
      </c>
      <c r="K41" s="239">
        <f t="shared" si="27"/>
        <v>1833</v>
      </c>
      <c r="L41" s="239">
        <v>0</v>
      </c>
      <c r="M41" s="244">
        <f t="shared" si="28"/>
        <v>0</v>
      </c>
      <c r="N41" s="239">
        <v>1833</v>
      </c>
      <c r="O41" s="244">
        <f t="shared" si="29"/>
        <v>100</v>
      </c>
      <c r="P41" s="239">
        <v>0</v>
      </c>
      <c r="Q41" s="244">
        <f t="shared" si="30"/>
        <v>0</v>
      </c>
      <c r="R41" s="239">
        <v>0</v>
      </c>
      <c r="S41" s="244">
        <f t="shared" si="31"/>
        <v>0</v>
      </c>
      <c r="T41" s="239">
        <v>9</v>
      </c>
      <c r="U41" s="244">
        <v>18.399999999999999</v>
      </c>
      <c r="V41" s="239">
        <v>0</v>
      </c>
      <c r="W41" s="239">
        <v>0</v>
      </c>
      <c r="X41" s="239">
        <v>0</v>
      </c>
      <c r="Y41" s="239">
        <v>0</v>
      </c>
      <c r="Z41" s="239">
        <v>0</v>
      </c>
      <c r="AA41" s="340">
        <v>0</v>
      </c>
      <c r="AB41" s="340">
        <v>0</v>
      </c>
      <c r="AC41" s="340">
        <v>0</v>
      </c>
    </row>
    <row r="42" spans="1:29" s="355" customFormat="1" ht="14.15" customHeight="1" thickBot="1">
      <c r="A42" s="920"/>
      <c r="B42" s="342">
        <v>52</v>
      </c>
      <c r="C42" s="247" t="s">
        <v>736</v>
      </c>
      <c r="D42" s="247">
        <f t="shared" si="23"/>
        <v>4000</v>
      </c>
      <c r="E42" s="247">
        <v>0</v>
      </c>
      <c r="F42" s="251">
        <f t="shared" si="24"/>
        <v>0</v>
      </c>
      <c r="G42" s="247">
        <v>4000</v>
      </c>
      <c r="H42" s="251">
        <f t="shared" si="25"/>
        <v>100</v>
      </c>
      <c r="I42" s="247">
        <v>4000</v>
      </c>
      <c r="J42" s="251">
        <f t="shared" si="26"/>
        <v>100</v>
      </c>
      <c r="K42" s="247">
        <f t="shared" si="27"/>
        <v>3000</v>
      </c>
      <c r="L42" s="247">
        <v>0</v>
      </c>
      <c r="M42" s="251">
        <f t="shared" si="28"/>
        <v>0</v>
      </c>
      <c r="N42" s="247">
        <v>0</v>
      </c>
      <c r="O42" s="251">
        <f t="shared" si="29"/>
        <v>0</v>
      </c>
      <c r="P42" s="247">
        <v>3000</v>
      </c>
      <c r="Q42" s="251">
        <f t="shared" si="30"/>
        <v>100</v>
      </c>
      <c r="R42" s="247">
        <v>3000</v>
      </c>
      <c r="S42" s="251">
        <f t="shared" si="31"/>
        <v>100</v>
      </c>
      <c r="T42" s="247">
        <v>1</v>
      </c>
      <c r="U42" s="251">
        <v>3.4</v>
      </c>
      <c r="V42" s="247">
        <v>0</v>
      </c>
      <c r="W42" s="247">
        <v>0</v>
      </c>
      <c r="X42" s="247">
        <v>0</v>
      </c>
      <c r="Y42" s="247">
        <v>0</v>
      </c>
      <c r="Z42" s="247">
        <v>0</v>
      </c>
      <c r="AA42" s="342">
        <v>0</v>
      </c>
      <c r="AB42" s="342">
        <v>0</v>
      </c>
      <c r="AC42" s="342">
        <v>0</v>
      </c>
    </row>
    <row r="43" spans="1:29" ht="14.15" customHeight="1" thickTop="1">
      <c r="A43" s="920"/>
      <c r="B43" s="252"/>
      <c r="C43" s="385" t="s">
        <v>34</v>
      </c>
      <c r="D43" s="385">
        <f>SUM(D35:D42)</f>
        <v>48277</v>
      </c>
      <c r="E43" s="385">
        <f>SUM(E35:E42)</f>
        <v>10511</v>
      </c>
      <c r="F43" s="417">
        <f t="shared" si="24"/>
        <v>21.77227251071939</v>
      </c>
      <c r="G43" s="385">
        <f>SUM(G35:G42)</f>
        <v>37766</v>
      </c>
      <c r="H43" s="417">
        <f t="shared" si="25"/>
        <v>78.22772748928061</v>
      </c>
      <c r="I43" s="385">
        <f>SUM(I35:I42)</f>
        <v>14910</v>
      </c>
      <c r="J43" s="417">
        <f t="shared" si="26"/>
        <v>30.884272013588248</v>
      </c>
      <c r="K43" s="259">
        <f>SUM(K35:K42)</f>
        <v>67120</v>
      </c>
      <c r="L43" s="385">
        <f>SUM(L35:L42)</f>
        <v>18286</v>
      </c>
      <c r="M43" s="417">
        <f t="shared" si="28"/>
        <v>27.243742550655544</v>
      </c>
      <c r="N43" s="385">
        <f>SUM(N35:N42)</f>
        <v>23634</v>
      </c>
      <c r="O43" s="417">
        <f t="shared" si="29"/>
        <v>35.211561382598333</v>
      </c>
      <c r="P43" s="259">
        <f>SUM(P35:P42)</f>
        <v>43486</v>
      </c>
      <c r="Q43" s="417">
        <f t="shared" si="30"/>
        <v>64.788438617401667</v>
      </c>
      <c r="R43" s="385">
        <f>SUM(R35:R42)</f>
        <v>7716</v>
      </c>
      <c r="S43" s="417">
        <f t="shared" si="31"/>
        <v>11.495828367103694</v>
      </c>
      <c r="T43" s="385">
        <f>SUM(T35:T42)</f>
        <v>34</v>
      </c>
      <c r="U43" s="385">
        <f t="shared" ref="U43:AC43" si="32">SUM(U35:U42)</f>
        <v>94.9</v>
      </c>
      <c r="V43" s="385">
        <f t="shared" si="32"/>
        <v>3</v>
      </c>
      <c r="W43" s="385">
        <f t="shared" si="32"/>
        <v>744</v>
      </c>
      <c r="X43" s="385">
        <f t="shared" si="32"/>
        <v>0</v>
      </c>
      <c r="Y43" s="385">
        <f t="shared" si="32"/>
        <v>0</v>
      </c>
      <c r="Z43" s="385">
        <f t="shared" si="32"/>
        <v>0</v>
      </c>
      <c r="AA43" s="385">
        <f t="shared" si="32"/>
        <v>0</v>
      </c>
      <c r="AB43" s="385">
        <f t="shared" si="32"/>
        <v>4</v>
      </c>
      <c r="AC43" s="385">
        <f t="shared" si="32"/>
        <v>160</v>
      </c>
    </row>
    <row r="44" spans="1:29" ht="14.15" customHeight="1">
      <c r="A44" s="920"/>
      <c r="B44" s="263"/>
      <c r="C44" s="357"/>
      <c r="D44" s="357"/>
      <c r="E44" s="357"/>
      <c r="F44" s="418"/>
      <c r="G44" s="357"/>
      <c r="H44" s="418"/>
      <c r="I44" s="357"/>
      <c r="J44" s="418"/>
      <c r="K44" s="270"/>
      <c r="L44" s="357"/>
      <c r="M44" s="418"/>
      <c r="N44" s="357"/>
      <c r="O44" s="418"/>
      <c r="P44" s="270"/>
      <c r="Q44" s="418"/>
      <c r="R44" s="357"/>
      <c r="S44" s="418"/>
      <c r="T44" s="270"/>
      <c r="U44" s="270"/>
      <c r="V44" s="270"/>
      <c r="W44" s="270"/>
      <c r="X44" s="270"/>
      <c r="Y44" s="270"/>
      <c r="Z44" s="270"/>
      <c r="AA44" s="270"/>
      <c r="AB44" s="270"/>
      <c r="AC44" s="270"/>
    </row>
    <row r="45" spans="1:29" s="355" customFormat="1" ht="14.15" customHeight="1">
      <c r="A45" s="920" t="s">
        <v>737</v>
      </c>
      <c r="B45" s="339">
        <v>70</v>
      </c>
      <c r="C45" s="231" t="s">
        <v>738</v>
      </c>
      <c r="D45" s="231">
        <f t="shared" ref="D45:D50" si="33">E45+G45</f>
        <v>44409</v>
      </c>
      <c r="E45" s="231">
        <v>500</v>
      </c>
      <c r="F45" s="236">
        <f>E45/$D45*100</f>
        <v>1.1258979035781036</v>
      </c>
      <c r="G45" s="231">
        <v>43909</v>
      </c>
      <c r="H45" s="236">
        <f>G45/$D45*100</f>
        <v>98.874102096421908</v>
      </c>
      <c r="I45" s="231">
        <v>0</v>
      </c>
      <c r="J45" s="236">
        <f>I45/$D45*100</f>
        <v>0</v>
      </c>
      <c r="K45" s="231">
        <f t="shared" ref="K45:K50" si="34">N45+P45</f>
        <v>37197</v>
      </c>
      <c r="L45" s="231">
        <v>21806</v>
      </c>
      <c r="M45" s="236">
        <f>L45/$K45*100</f>
        <v>58.623007231766003</v>
      </c>
      <c r="N45" s="231">
        <v>29757</v>
      </c>
      <c r="O45" s="236">
        <f>N45/$K45*100</f>
        <v>79.998386966690859</v>
      </c>
      <c r="P45" s="231">
        <v>7440</v>
      </c>
      <c r="Q45" s="236">
        <f>P45/$K45*100</f>
        <v>20.001613033309138</v>
      </c>
      <c r="R45" s="231">
        <v>0</v>
      </c>
      <c r="S45" s="236">
        <f>R45/$K45*100</f>
        <v>0</v>
      </c>
      <c r="T45" s="2116">
        <v>61</v>
      </c>
      <c r="U45" s="2119">
        <v>14.1</v>
      </c>
      <c r="V45" s="231">
        <v>4</v>
      </c>
      <c r="W45" s="231">
        <v>117</v>
      </c>
      <c r="X45" s="339">
        <v>0</v>
      </c>
      <c r="Y45" s="339">
        <v>0</v>
      </c>
      <c r="Z45" s="339">
        <v>1</v>
      </c>
      <c r="AA45" s="339">
        <v>100</v>
      </c>
      <c r="AB45" s="339">
        <v>0</v>
      </c>
      <c r="AC45" s="339">
        <v>0</v>
      </c>
    </row>
    <row r="46" spans="1:29" s="355" customFormat="1" ht="14.15" customHeight="1">
      <c r="A46" s="920"/>
      <c r="B46" s="340">
        <v>83</v>
      </c>
      <c r="C46" s="239" t="s">
        <v>739</v>
      </c>
      <c r="D46" s="239">
        <f t="shared" si="33"/>
        <v>3808</v>
      </c>
      <c r="E46" s="239">
        <v>0</v>
      </c>
      <c r="F46" s="244">
        <f>E46/$D46*100</f>
        <v>0</v>
      </c>
      <c r="G46" s="239">
        <v>3808</v>
      </c>
      <c r="H46" s="244">
        <f>G46/$D46*100</f>
        <v>100</v>
      </c>
      <c r="I46" s="239">
        <v>3808</v>
      </c>
      <c r="J46" s="244">
        <f>I46/$D46*100</f>
        <v>100</v>
      </c>
      <c r="K46" s="239">
        <f t="shared" si="34"/>
        <v>3544</v>
      </c>
      <c r="L46" s="239">
        <v>175</v>
      </c>
      <c r="M46" s="244">
        <f>L46/$K46*100</f>
        <v>4.9379232505643342</v>
      </c>
      <c r="N46" s="239">
        <v>175</v>
      </c>
      <c r="O46" s="244">
        <f>N46/$K46*100</f>
        <v>4.9379232505643342</v>
      </c>
      <c r="P46" s="239">
        <v>3369</v>
      </c>
      <c r="Q46" s="244">
        <f>P46/$K46*100</f>
        <v>95.062076749435661</v>
      </c>
      <c r="R46" s="239">
        <v>3369</v>
      </c>
      <c r="S46" s="244">
        <f>R46/$K46*100</f>
        <v>95.062076749435661</v>
      </c>
      <c r="T46" s="239">
        <v>0</v>
      </c>
      <c r="U46" s="244">
        <v>0</v>
      </c>
      <c r="V46" s="239">
        <v>7</v>
      </c>
      <c r="W46" s="239">
        <v>54</v>
      </c>
      <c r="X46" s="340">
        <v>0</v>
      </c>
      <c r="Y46" s="340">
        <v>0</v>
      </c>
      <c r="Z46" s="340">
        <v>0</v>
      </c>
      <c r="AA46" s="340">
        <v>0</v>
      </c>
      <c r="AB46" s="340">
        <v>0</v>
      </c>
      <c r="AC46" s="340">
        <v>0</v>
      </c>
    </row>
    <row r="47" spans="1:29" s="355" customFormat="1" ht="14.15" customHeight="1">
      <c r="A47" s="920"/>
      <c r="B47" s="346">
        <v>76</v>
      </c>
      <c r="C47" s="281" t="s">
        <v>740</v>
      </c>
      <c r="D47" s="281">
        <f t="shared" si="33"/>
        <v>4500</v>
      </c>
      <c r="E47" s="281">
        <v>0</v>
      </c>
      <c r="F47" s="244">
        <f t="shared" ref="F47:F49" si="35">E47/$D47*100</f>
        <v>0</v>
      </c>
      <c r="G47" s="281">
        <v>4500</v>
      </c>
      <c r="H47" s="244">
        <f t="shared" ref="H47:H50" si="36">G47/$D47*100</f>
        <v>100</v>
      </c>
      <c r="I47" s="281">
        <v>4500</v>
      </c>
      <c r="J47" s="244">
        <f t="shared" ref="J47:J49" si="37">I47/$D47*100</f>
        <v>100</v>
      </c>
      <c r="K47" s="281">
        <f t="shared" si="34"/>
        <v>1883</v>
      </c>
      <c r="L47" s="281">
        <v>800</v>
      </c>
      <c r="M47" s="244">
        <f t="shared" ref="M47:M49" si="38">L47/$K47*100</f>
        <v>42.485395645246946</v>
      </c>
      <c r="N47" s="281">
        <v>800</v>
      </c>
      <c r="O47" s="244">
        <f t="shared" ref="O47:O49" si="39">N47/$K47*100</f>
        <v>42.485395645246946</v>
      </c>
      <c r="P47" s="281">
        <v>1083</v>
      </c>
      <c r="Q47" s="244">
        <f t="shared" ref="Q47:Q49" si="40">P47/$K47*100</f>
        <v>57.514604354753054</v>
      </c>
      <c r="R47" s="281">
        <v>1083</v>
      </c>
      <c r="S47" s="244">
        <f t="shared" ref="S47:S49" si="41">R47/$K47*100</f>
        <v>57.514604354753054</v>
      </c>
      <c r="T47" s="281">
        <v>1</v>
      </c>
      <c r="U47" s="285">
        <v>1</v>
      </c>
      <c r="V47" s="281">
        <v>3</v>
      </c>
      <c r="W47" s="281">
        <v>20</v>
      </c>
      <c r="X47" s="346">
        <v>0</v>
      </c>
      <c r="Y47" s="346">
        <v>0</v>
      </c>
      <c r="Z47" s="346">
        <v>0</v>
      </c>
      <c r="AA47" s="346">
        <v>0</v>
      </c>
      <c r="AB47" s="346">
        <v>0</v>
      </c>
      <c r="AC47" s="346">
        <v>0</v>
      </c>
    </row>
    <row r="48" spans="1:29" s="355" customFormat="1" ht="14.15" customHeight="1">
      <c r="A48" s="920"/>
      <c r="B48" s="346">
        <v>93</v>
      </c>
      <c r="C48" s="281" t="s">
        <v>742</v>
      </c>
      <c r="D48" s="281">
        <f t="shared" si="33"/>
        <v>4738</v>
      </c>
      <c r="E48" s="281">
        <v>0</v>
      </c>
      <c r="F48" s="244">
        <f t="shared" si="35"/>
        <v>0</v>
      </c>
      <c r="G48" s="281">
        <v>4738</v>
      </c>
      <c r="H48" s="244">
        <f t="shared" si="36"/>
        <v>100</v>
      </c>
      <c r="I48" s="281">
        <v>4738</v>
      </c>
      <c r="J48" s="244">
        <f t="shared" si="37"/>
        <v>100</v>
      </c>
      <c r="K48" s="281">
        <f t="shared" si="34"/>
        <v>4326</v>
      </c>
      <c r="L48" s="281">
        <v>0</v>
      </c>
      <c r="M48" s="244">
        <f t="shared" si="38"/>
        <v>0</v>
      </c>
      <c r="N48" s="281">
        <v>0</v>
      </c>
      <c r="O48" s="244">
        <f t="shared" si="39"/>
        <v>0</v>
      </c>
      <c r="P48" s="281">
        <v>4326</v>
      </c>
      <c r="Q48" s="244">
        <f t="shared" si="40"/>
        <v>100</v>
      </c>
      <c r="R48" s="281">
        <v>4326</v>
      </c>
      <c r="S48" s="244">
        <f t="shared" si="41"/>
        <v>100</v>
      </c>
      <c r="T48" s="281">
        <v>2</v>
      </c>
      <c r="U48" s="285">
        <v>43</v>
      </c>
      <c r="V48" s="281">
        <v>0</v>
      </c>
      <c r="W48" s="281">
        <v>0</v>
      </c>
      <c r="X48" s="346">
        <v>0</v>
      </c>
      <c r="Y48" s="346">
        <v>0</v>
      </c>
      <c r="Z48" s="346">
        <v>0</v>
      </c>
      <c r="AA48" s="346">
        <v>0</v>
      </c>
      <c r="AB48" s="346">
        <v>0</v>
      </c>
      <c r="AC48" s="346">
        <v>0</v>
      </c>
    </row>
    <row r="49" spans="1:29" s="355" customFormat="1" ht="14.15" customHeight="1">
      <c r="A49" s="920"/>
      <c r="B49" s="346">
        <v>94</v>
      </c>
      <c r="C49" s="281" t="s">
        <v>743</v>
      </c>
      <c r="D49" s="281">
        <f t="shared" si="33"/>
        <v>2653</v>
      </c>
      <c r="E49" s="281">
        <v>0</v>
      </c>
      <c r="F49" s="244">
        <f t="shared" si="35"/>
        <v>0</v>
      </c>
      <c r="G49" s="281">
        <v>2653</v>
      </c>
      <c r="H49" s="244">
        <f t="shared" si="36"/>
        <v>100</v>
      </c>
      <c r="I49" s="281">
        <v>2653</v>
      </c>
      <c r="J49" s="244">
        <f t="shared" si="37"/>
        <v>100</v>
      </c>
      <c r="K49" s="281">
        <f t="shared" si="34"/>
        <v>2625</v>
      </c>
      <c r="L49" s="281">
        <v>0</v>
      </c>
      <c r="M49" s="244">
        <f t="shared" si="38"/>
        <v>0</v>
      </c>
      <c r="N49" s="281">
        <v>0</v>
      </c>
      <c r="O49" s="244">
        <f t="shared" si="39"/>
        <v>0</v>
      </c>
      <c r="P49" s="281">
        <v>2625</v>
      </c>
      <c r="Q49" s="244">
        <f t="shared" si="40"/>
        <v>100</v>
      </c>
      <c r="R49" s="281">
        <v>2625</v>
      </c>
      <c r="S49" s="244">
        <f t="shared" si="41"/>
        <v>100</v>
      </c>
      <c r="T49" s="281">
        <v>4</v>
      </c>
      <c r="U49" s="285">
        <v>10</v>
      </c>
      <c r="V49" s="281">
        <v>4</v>
      </c>
      <c r="W49" s="281">
        <v>20</v>
      </c>
      <c r="X49" s="346">
        <v>0</v>
      </c>
      <c r="Y49" s="346">
        <v>0</v>
      </c>
      <c r="Z49" s="346">
        <v>0</v>
      </c>
      <c r="AA49" s="346">
        <v>0</v>
      </c>
      <c r="AB49" s="346">
        <v>0</v>
      </c>
      <c r="AC49" s="346">
        <v>0</v>
      </c>
    </row>
    <row r="50" spans="1:29" s="355" customFormat="1" ht="14.15" customHeight="1" thickBot="1">
      <c r="A50" s="920"/>
      <c r="B50" s="342">
        <v>91</v>
      </c>
      <c r="C50" s="247" t="s">
        <v>801</v>
      </c>
      <c r="D50" s="247">
        <f t="shared" si="33"/>
        <v>2910</v>
      </c>
      <c r="E50" s="247">
        <v>0</v>
      </c>
      <c r="F50" s="251">
        <f>E50/$D50*100</f>
        <v>0</v>
      </c>
      <c r="G50" s="247">
        <v>2910</v>
      </c>
      <c r="H50" s="244">
        <f t="shared" si="36"/>
        <v>100</v>
      </c>
      <c r="I50" s="247">
        <v>2910</v>
      </c>
      <c r="J50" s="251">
        <f>I50/$D50*100</f>
        <v>100</v>
      </c>
      <c r="K50" s="247">
        <f t="shared" si="34"/>
        <v>2451</v>
      </c>
      <c r="L50" s="247">
        <v>0</v>
      </c>
      <c r="M50" s="251">
        <f>L50/$K50*100</f>
        <v>0</v>
      </c>
      <c r="N50" s="247">
        <v>0</v>
      </c>
      <c r="O50" s="251">
        <f>N50/$K50*100</f>
        <v>0</v>
      </c>
      <c r="P50" s="247">
        <v>2451</v>
      </c>
      <c r="Q50" s="251">
        <f>P50/$K50*100</f>
        <v>100</v>
      </c>
      <c r="R50" s="247">
        <v>2451</v>
      </c>
      <c r="S50" s="251">
        <f>R50/$K50*100</f>
        <v>100</v>
      </c>
      <c r="T50" s="247">
        <v>0</v>
      </c>
      <c r="U50" s="251">
        <v>0</v>
      </c>
      <c r="V50" s="247">
        <v>8</v>
      </c>
      <c r="W50" s="247">
        <v>0</v>
      </c>
      <c r="X50" s="342">
        <v>0</v>
      </c>
      <c r="Y50" s="342">
        <v>0</v>
      </c>
      <c r="Z50" s="342">
        <v>0</v>
      </c>
      <c r="AA50" s="342">
        <v>0</v>
      </c>
      <c r="AB50" s="342">
        <v>2</v>
      </c>
      <c r="AC50" s="342">
        <v>300</v>
      </c>
    </row>
    <row r="51" spans="1:29" ht="14.15" customHeight="1" thickTop="1">
      <c r="A51" s="920"/>
      <c r="B51" s="252"/>
      <c r="C51" s="385" t="s">
        <v>34</v>
      </c>
      <c r="D51" s="385">
        <f>SUM(D45:D50)</f>
        <v>63018</v>
      </c>
      <c r="E51" s="385">
        <f>SUM(E45:E50)</f>
        <v>500</v>
      </c>
      <c r="F51" s="417">
        <f>E51/$D51*100</f>
        <v>0.79342410105049355</v>
      </c>
      <c r="G51" s="385">
        <f>SUM(G45:G50)</f>
        <v>62518</v>
      </c>
      <c r="H51" s="417">
        <f>G51/$D51*100</f>
        <v>99.206575898949509</v>
      </c>
      <c r="I51" s="385">
        <f>SUM(I45:I50)</f>
        <v>18609</v>
      </c>
      <c r="J51" s="417">
        <f>I51/$D51*100</f>
        <v>29.529658192897269</v>
      </c>
      <c r="K51" s="259">
        <f>SUM(K45:K50)</f>
        <v>52026</v>
      </c>
      <c r="L51" s="385">
        <f>SUM(L45:L50)</f>
        <v>22781</v>
      </c>
      <c r="M51" s="417">
        <f>L51/$K51*100</f>
        <v>43.787721523853456</v>
      </c>
      <c r="N51" s="385">
        <f>SUM(N45:N50)</f>
        <v>30732</v>
      </c>
      <c r="O51" s="417">
        <f>N51/$K51*100</f>
        <v>59.070464767616194</v>
      </c>
      <c r="P51" s="259">
        <f>SUM(P45:P50)</f>
        <v>21294</v>
      </c>
      <c r="Q51" s="417">
        <f>P51/$K51*100</f>
        <v>40.929535232383806</v>
      </c>
      <c r="R51" s="385">
        <f>SUM(R45:R50)</f>
        <v>13854</v>
      </c>
      <c r="S51" s="417">
        <f>R51/$K51*100</f>
        <v>26.628993195709839</v>
      </c>
      <c r="T51" s="385">
        <f>SUM(T45:T50)</f>
        <v>68</v>
      </c>
      <c r="U51" s="385">
        <f t="shared" ref="U51:AC51" si="42">SUM(U45:U50)</f>
        <v>68.099999999999994</v>
      </c>
      <c r="V51" s="385">
        <f t="shared" si="42"/>
        <v>26</v>
      </c>
      <c r="W51" s="385">
        <f t="shared" si="42"/>
        <v>211</v>
      </c>
      <c r="X51" s="385">
        <f t="shared" si="42"/>
        <v>0</v>
      </c>
      <c r="Y51" s="385">
        <f t="shared" si="42"/>
        <v>0</v>
      </c>
      <c r="Z51" s="385">
        <f t="shared" si="42"/>
        <v>1</v>
      </c>
      <c r="AA51" s="385">
        <f t="shared" si="42"/>
        <v>100</v>
      </c>
      <c r="AB51" s="385">
        <f t="shared" si="42"/>
        <v>2</v>
      </c>
      <c r="AC51" s="385">
        <f t="shared" si="42"/>
        <v>300</v>
      </c>
    </row>
    <row r="52" spans="1:29" ht="14.15" customHeight="1">
      <c r="A52" s="920"/>
      <c r="B52" s="263"/>
      <c r="C52" s="357"/>
      <c r="D52" s="357"/>
      <c r="E52" s="357"/>
      <c r="F52" s="418"/>
      <c r="G52" s="357"/>
      <c r="H52" s="418"/>
      <c r="I52" s="357"/>
      <c r="J52" s="418"/>
      <c r="K52" s="270"/>
      <c r="L52" s="357"/>
      <c r="M52" s="418"/>
      <c r="N52" s="357"/>
      <c r="O52" s="418"/>
      <c r="P52" s="270"/>
      <c r="Q52" s="418"/>
      <c r="R52" s="357"/>
      <c r="S52" s="418"/>
      <c r="T52" s="270"/>
      <c r="U52" s="270"/>
      <c r="V52" s="270"/>
      <c r="W52" s="270"/>
      <c r="X52" s="270"/>
      <c r="Y52" s="270"/>
      <c r="Z52" s="270"/>
      <c r="AA52" s="270"/>
      <c r="AB52" s="270"/>
      <c r="AC52" s="270"/>
    </row>
    <row r="53" spans="1:29" s="355" customFormat="1" ht="14.15" customHeight="1" thickBot="1">
      <c r="A53" s="920" t="s">
        <v>745</v>
      </c>
      <c r="B53" s="419">
        <v>20</v>
      </c>
      <c r="C53" s="287" t="s">
        <v>746</v>
      </c>
      <c r="D53" s="287">
        <f>E53+G53</f>
        <v>3970</v>
      </c>
      <c r="E53" s="287">
        <v>0</v>
      </c>
      <c r="F53" s="291">
        <f>E53/$D53*100</f>
        <v>0</v>
      </c>
      <c r="G53" s="287">
        <v>3970</v>
      </c>
      <c r="H53" s="291">
        <f>G53/$D53*100</f>
        <v>100</v>
      </c>
      <c r="I53" s="287">
        <v>0</v>
      </c>
      <c r="J53" s="291">
        <f>I53/$D53*100</f>
        <v>0</v>
      </c>
      <c r="K53" s="287">
        <f>N53+P53</f>
        <v>2575</v>
      </c>
      <c r="L53" s="287">
        <v>0</v>
      </c>
      <c r="M53" s="291">
        <f>L53/$K53*100</f>
        <v>0</v>
      </c>
      <c r="N53" s="287">
        <v>0</v>
      </c>
      <c r="O53" s="291">
        <f>N53/$K53*100</f>
        <v>0</v>
      </c>
      <c r="P53" s="287">
        <v>2575</v>
      </c>
      <c r="Q53" s="291">
        <f>P53/$K53*100</f>
        <v>100</v>
      </c>
      <c r="R53" s="287">
        <v>0</v>
      </c>
      <c r="S53" s="291">
        <f>R53/$K53*100</f>
        <v>0</v>
      </c>
      <c r="T53" s="287">
        <v>0</v>
      </c>
      <c r="U53" s="291">
        <v>0</v>
      </c>
      <c r="V53" s="287">
        <v>0</v>
      </c>
      <c r="W53" s="287">
        <v>0</v>
      </c>
      <c r="X53" s="347">
        <v>0</v>
      </c>
      <c r="Y53" s="347">
        <v>0</v>
      </c>
      <c r="Z53" s="347">
        <v>0</v>
      </c>
      <c r="AA53" s="347">
        <v>0</v>
      </c>
      <c r="AB53" s="347">
        <v>0</v>
      </c>
      <c r="AC53" s="347">
        <v>0</v>
      </c>
    </row>
    <row r="54" spans="1:29" ht="14.15" customHeight="1" thickTop="1">
      <c r="A54" s="920"/>
      <c r="B54" s="252"/>
      <c r="C54" s="385" t="s">
        <v>34</v>
      </c>
      <c r="D54" s="385">
        <f>SUM(D53)</f>
        <v>3970</v>
      </c>
      <c r="E54" s="385">
        <f>SUM(E53)</f>
        <v>0</v>
      </c>
      <c r="F54" s="417">
        <f>E54/$D54*100</f>
        <v>0</v>
      </c>
      <c r="G54" s="385">
        <f>SUM(G53)</f>
        <v>3970</v>
      </c>
      <c r="H54" s="417">
        <f>G54/$D54*100</f>
        <v>100</v>
      </c>
      <c r="I54" s="385">
        <f>SUM(I53)</f>
        <v>0</v>
      </c>
      <c r="J54" s="417">
        <f>I54/$D54*100</f>
        <v>0</v>
      </c>
      <c r="K54" s="259">
        <f>SUM(K53)</f>
        <v>2575</v>
      </c>
      <c r="L54" s="385">
        <f>SUM(L53)</f>
        <v>0</v>
      </c>
      <c r="M54" s="417">
        <f>L54/$K54*100</f>
        <v>0</v>
      </c>
      <c r="N54" s="385">
        <f>SUM(N53)</f>
        <v>0</v>
      </c>
      <c r="O54" s="417">
        <f>N54/$K54*100</f>
        <v>0</v>
      </c>
      <c r="P54" s="259">
        <f>SUM(P53)</f>
        <v>2575</v>
      </c>
      <c r="Q54" s="417">
        <f>P54/$K54*100</f>
        <v>100</v>
      </c>
      <c r="R54" s="385">
        <f>SUM(R53)</f>
        <v>0</v>
      </c>
      <c r="S54" s="417">
        <f>R54/$K54*100</f>
        <v>0</v>
      </c>
      <c r="T54" s="385">
        <f>SUM(T53)</f>
        <v>0</v>
      </c>
      <c r="U54" s="385">
        <f t="shared" ref="U54:AC54" si="43">SUM(U53)</f>
        <v>0</v>
      </c>
      <c r="V54" s="385">
        <f t="shared" si="43"/>
        <v>0</v>
      </c>
      <c r="W54" s="385">
        <f t="shared" si="43"/>
        <v>0</v>
      </c>
      <c r="X54" s="385">
        <f t="shared" si="43"/>
        <v>0</v>
      </c>
      <c r="Y54" s="385">
        <f t="shared" si="43"/>
        <v>0</v>
      </c>
      <c r="Z54" s="385">
        <f t="shared" si="43"/>
        <v>0</v>
      </c>
      <c r="AA54" s="385">
        <f t="shared" si="43"/>
        <v>0</v>
      </c>
      <c r="AB54" s="385">
        <f t="shared" si="43"/>
        <v>0</v>
      </c>
      <c r="AC54" s="385">
        <f t="shared" si="43"/>
        <v>0</v>
      </c>
    </row>
    <row r="55" spans="1:29" ht="14.15" customHeight="1">
      <c r="A55" s="920"/>
      <c r="B55" s="263"/>
      <c r="C55" s="357"/>
      <c r="D55" s="357"/>
      <c r="E55" s="357"/>
      <c r="F55" s="418"/>
      <c r="G55" s="357"/>
      <c r="H55" s="418"/>
      <c r="I55" s="357"/>
      <c r="J55" s="418"/>
      <c r="K55" s="270"/>
      <c r="L55" s="357"/>
      <c r="M55" s="418"/>
      <c r="N55" s="357"/>
      <c r="O55" s="418"/>
      <c r="P55" s="270"/>
      <c r="Q55" s="418"/>
      <c r="R55" s="357"/>
      <c r="S55" s="418"/>
      <c r="T55" s="270"/>
      <c r="U55" s="270"/>
      <c r="V55" s="270"/>
      <c r="W55" s="270"/>
      <c r="X55" s="270"/>
      <c r="Y55" s="270"/>
      <c r="Z55" s="270"/>
      <c r="AA55" s="270"/>
      <c r="AB55" s="270"/>
      <c r="AC55" s="270"/>
    </row>
    <row r="56" spans="1:29" s="355" customFormat="1" ht="14.15" customHeight="1">
      <c r="A56" s="920" t="s">
        <v>516</v>
      </c>
      <c r="B56" s="339">
        <v>4</v>
      </c>
      <c r="C56" s="231" t="s">
        <v>747</v>
      </c>
      <c r="D56" s="231">
        <f t="shared" ref="D56:D62" si="44">E56+G56</f>
        <v>19057</v>
      </c>
      <c r="E56" s="231">
        <v>0</v>
      </c>
      <c r="F56" s="236">
        <f t="shared" ref="F56:F63" si="45">E56/$D56*100</f>
        <v>0</v>
      </c>
      <c r="G56" s="231">
        <v>19057</v>
      </c>
      <c r="H56" s="236">
        <f t="shared" ref="H56:H63" si="46">G56/$D56*100</f>
        <v>100</v>
      </c>
      <c r="I56" s="231">
        <v>19057</v>
      </c>
      <c r="J56" s="236">
        <f t="shared" ref="J56:J63" si="47">I56/$D56*100</f>
        <v>100</v>
      </c>
      <c r="K56" s="231">
        <f t="shared" ref="K56:K62" si="48">N56+P56</f>
        <v>65737</v>
      </c>
      <c r="L56" s="231">
        <v>28000</v>
      </c>
      <c r="M56" s="236">
        <f t="shared" ref="M56:M63" si="49">L56/$K56*100</f>
        <v>42.593972952827173</v>
      </c>
      <c r="N56" s="231">
        <v>28484</v>
      </c>
      <c r="O56" s="236">
        <f t="shared" ref="O56:O63" si="50">N56/$K56*100</f>
        <v>43.330240199583187</v>
      </c>
      <c r="P56" s="231">
        <v>37253</v>
      </c>
      <c r="Q56" s="236">
        <f t="shared" ref="Q56:Q63" si="51">P56/$K56*100</f>
        <v>56.669759800416806</v>
      </c>
      <c r="R56" s="231">
        <v>31753</v>
      </c>
      <c r="S56" s="236">
        <f t="shared" ref="S56:S63" si="52">R56/$K56*100</f>
        <v>48.303086541825763</v>
      </c>
      <c r="T56" s="2116">
        <v>12</v>
      </c>
      <c r="U56" s="2119">
        <v>9.6</v>
      </c>
      <c r="V56" s="2116">
        <v>6</v>
      </c>
      <c r="W56" s="231">
        <v>3183</v>
      </c>
      <c r="X56" s="339">
        <v>0</v>
      </c>
      <c r="Y56" s="339">
        <v>0</v>
      </c>
      <c r="Z56" s="339">
        <v>1</v>
      </c>
      <c r="AA56" s="339">
        <v>200</v>
      </c>
      <c r="AB56" s="339">
        <v>0</v>
      </c>
      <c r="AC56" s="339">
        <v>0</v>
      </c>
    </row>
    <row r="57" spans="1:29" s="355" customFormat="1" ht="14.15" customHeight="1">
      <c r="A57" s="920"/>
      <c r="B57" s="340">
        <v>19</v>
      </c>
      <c r="C57" s="239" t="s">
        <v>907</v>
      </c>
      <c r="D57" s="239">
        <f t="shared" si="44"/>
        <v>8911</v>
      </c>
      <c r="E57" s="239">
        <v>8887</v>
      </c>
      <c r="F57" s="244">
        <f t="shared" si="45"/>
        <v>99.730669958478288</v>
      </c>
      <c r="G57" s="239">
        <v>24</v>
      </c>
      <c r="H57" s="244">
        <f t="shared" si="46"/>
        <v>0.26933004152171469</v>
      </c>
      <c r="I57" s="239">
        <v>24</v>
      </c>
      <c r="J57" s="244">
        <f t="shared" si="47"/>
        <v>0.26933004152171469</v>
      </c>
      <c r="K57" s="239">
        <f t="shared" si="48"/>
        <v>6153</v>
      </c>
      <c r="L57" s="239">
        <v>5000</v>
      </c>
      <c r="M57" s="244">
        <f t="shared" si="49"/>
        <v>81.26117341134406</v>
      </c>
      <c r="N57" s="239">
        <v>5000</v>
      </c>
      <c r="O57" s="244">
        <f t="shared" si="50"/>
        <v>81.26117341134406</v>
      </c>
      <c r="P57" s="239">
        <v>1153</v>
      </c>
      <c r="Q57" s="244">
        <f t="shared" si="51"/>
        <v>18.73882658865594</v>
      </c>
      <c r="R57" s="239">
        <v>1153</v>
      </c>
      <c r="S57" s="244">
        <f t="shared" si="52"/>
        <v>18.73882658865594</v>
      </c>
      <c r="T57" s="239">
        <v>1</v>
      </c>
      <c r="U57" s="244">
        <v>26</v>
      </c>
      <c r="V57" s="239">
        <v>0</v>
      </c>
      <c r="W57" s="239">
        <v>0</v>
      </c>
      <c r="X57" s="340">
        <v>0</v>
      </c>
      <c r="Y57" s="340">
        <v>0</v>
      </c>
      <c r="Z57" s="340">
        <v>0</v>
      </c>
      <c r="AA57" s="340">
        <v>0</v>
      </c>
      <c r="AB57" s="340">
        <v>0</v>
      </c>
      <c r="AC57" s="340">
        <v>0</v>
      </c>
    </row>
    <row r="58" spans="1:29" s="355" customFormat="1" ht="14.15" customHeight="1">
      <c r="A58" s="920"/>
      <c r="B58" s="340">
        <v>41</v>
      </c>
      <c r="C58" s="239" t="s">
        <v>908</v>
      </c>
      <c r="D58" s="239">
        <f t="shared" si="44"/>
        <v>7844</v>
      </c>
      <c r="E58" s="239">
        <v>3040</v>
      </c>
      <c r="F58" s="244">
        <f>E58/$D58*100</f>
        <v>38.755736868944417</v>
      </c>
      <c r="G58" s="239">
        <v>4804</v>
      </c>
      <c r="H58" s="244">
        <f>G58/$D58*100</f>
        <v>61.24426313105559</v>
      </c>
      <c r="I58" s="239">
        <v>4804</v>
      </c>
      <c r="J58" s="244">
        <f>I58/$D58*100</f>
        <v>61.24426313105559</v>
      </c>
      <c r="K58" s="239">
        <f t="shared" si="48"/>
        <v>7969</v>
      </c>
      <c r="L58" s="239">
        <v>5100</v>
      </c>
      <c r="M58" s="244">
        <f>L58/$K58*100</f>
        <v>63.99799221985193</v>
      </c>
      <c r="N58" s="239">
        <v>5100</v>
      </c>
      <c r="O58" s="244">
        <f>N58/$K58*100</f>
        <v>63.99799221985193</v>
      </c>
      <c r="P58" s="239">
        <v>2869</v>
      </c>
      <c r="Q58" s="244">
        <f>P58/$K58*100</f>
        <v>36.002007780148077</v>
      </c>
      <c r="R58" s="239">
        <v>2869</v>
      </c>
      <c r="S58" s="244">
        <f>R58/$K58*100</f>
        <v>36.002007780148077</v>
      </c>
      <c r="T58" s="239">
        <v>5</v>
      </c>
      <c r="U58" s="244">
        <v>47.8</v>
      </c>
      <c r="V58" s="239">
        <v>7</v>
      </c>
      <c r="W58" s="239">
        <v>178</v>
      </c>
      <c r="X58" s="340">
        <v>0</v>
      </c>
      <c r="Y58" s="340">
        <v>0</v>
      </c>
      <c r="Z58" s="340">
        <v>0</v>
      </c>
      <c r="AA58" s="340">
        <v>0</v>
      </c>
      <c r="AB58" s="340">
        <v>0</v>
      </c>
      <c r="AC58" s="340">
        <v>0</v>
      </c>
    </row>
    <row r="59" spans="1:29" s="355" customFormat="1" ht="14.15" customHeight="1">
      <c r="A59" s="920"/>
      <c r="B59" s="340">
        <v>47</v>
      </c>
      <c r="C59" s="239" t="s">
        <v>751</v>
      </c>
      <c r="D59" s="239">
        <f t="shared" si="44"/>
        <v>2360</v>
      </c>
      <c r="E59" s="239">
        <v>2100</v>
      </c>
      <c r="F59" s="244">
        <f>E59/$D59*100</f>
        <v>88.983050847457619</v>
      </c>
      <c r="G59" s="239">
        <v>260</v>
      </c>
      <c r="H59" s="244">
        <f>G59/$D59*100</f>
        <v>11.016949152542372</v>
      </c>
      <c r="I59" s="239">
        <v>260</v>
      </c>
      <c r="J59" s="244">
        <f>I59/$D59*100</f>
        <v>11.016949152542372</v>
      </c>
      <c r="K59" s="239">
        <f t="shared" si="48"/>
        <v>3426</v>
      </c>
      <c r="L59" s="239">
        <v>1000</v>
      </c>
      <c r="M59" s="244">
        <f>L59/$K59*100</f>
        <v>29.188558085230586</v>
      </c>
      <c r="N59" s="239">
        <v>1000</v>
      </c>
      <c r="O59" s="244">
        <f>N59/$K59*100</f>
        <v>29.188558085230586</v>
      </c>
      <c r="P59" s="239">
        <v>2426</v>
      </c>
      <c r="Q59" s="244">
        <f>P59/$K59*100</f>
        <v>70.811441914769418</v>
      </c>
      <c r="R59" s="239">
        <v>2426</v>
      </c>
      <c r="S59" s="244">
        <f>R59/$K59*100</f>
        <v>70.811441914769418</v>
      </c>
      <c r="T59" s="239">
        <v>1</v>
      </c>
      <c r="U59" s="244">
        <v>30.9</v>
      </c>
      <c r="V59" s="239">
        <v>0</v>
      </c>
      <c r="W59" s="239">
        <v>0</v>
      </c>
      <c r="X59" s="340">
        <v>0</v>
      </c>
      <c r="Y59" s="340">
        <v>0</v>
      </c>
      <c r="Z59" s="340">
        <v>0</v>
      </c>
      <c r="AA59" s="340">
        <v>0</v>
      </c>
      <c r="AB59" s="340">
        <v>0</v>
      </c>
      <c r="AC59" s="340">
        <v>0</v>
      </c>
    </row>
    <row r="60" spans="1:29" s="355" customFormat="1" ht="14.15" customHeight="1">
      <c r="A60" s="920"/>
      <c r="B60" s="340">
        <v>46</v>
      </c>
      <c r="C60" s="239" t="s">
        <v>940</v>
      </c>
      <c r="D60" s="239">
        <f t="shared" si="44"/>
        <v>21320</v>
      </c>
      <c r="E60" s="239">
        <v>21320</v>
      </c>
      <c r="F60" s="244">
        <f t="shared" si="45"/>
        <v>100</v>
      </c>
      <c r="G60" s="239">
        <v>0</v>
      </c>
      <c r="H60" s="244">
        <f t="shared" si="46"/>
        <v>0</v>
      </c>
      <c r="I60" s="239">
        <v>0</v>
      </c>
      <c r="J60" s="244">
        <f t="shared" si="47"/>
        <v>0</v>
      </c>
      <c r="K60" s="239">
        <f t="shared" si="48"/>
        <v>30844</v>
      </c>
      <c r="L60" s="239">
        <v>24244</v>
      </c>
      <c r="M60" s="244">
        <f t="shared" si="49"/>
        <v>78.601997146932959</v>
      </c>
      <c r="N60" s="239">
        <v>24244</v>
      </c>
      <c r="O60" s="244">
        <f t="shared" si="50"/>
        <v>78.601997146932959</v>
      </c>
      <c r="P60" s="239">
        <v>6600</v>
      </c>
      <c r="Q60" s="244">
        <f t="shared" si="51"/>
        <v>21.398002853067048</v>
      </c>
      <c r="R60" s="239">
        <v>0</v>
      </c>
      <c r="S60" s="244">
        <f t="shared" si="52"/>
        <v>0</v>
      </c>
      <c r="T60" s="239">
        <v>6</v>
      </c>
      <c r="U60" s="244">
        <v>8.6</v>
      </c>
      <c r="V60" s="239">
        <v>4</v>
      </c>
      <c r="W60" s="239">
        <v>59</v>
      </c>
      <c r="X60" s="340">
        <v>0</v>
      </c>
      <c r="Y60" s="340">
        <v>0</v>
      </c>
      <c r="Z60" s="340">
        <v>0</v>
      </c>
      <c r="AA60" s="340">
        <v>0</v>
      </c>
      <c r="AB60" s="340">
        <v>613</v>
      </c>
      <c r="AC60" s="340">
        <v>100</v>
      </c>
    </row>
    <row r="61" spans="1:29" s="355" customFormat="1" ht="14.15" customHeight="1">
      <c r="A61" s="920"/>
      <c r="B61" s="346">
        <v>89</v>
      </c>
      <c r="C61" s="239" t="s">
        <v>941</v>
      </c>
      <c r="D61" s="281">
        <f t="shared" si="44"/>
        <v>43500</v>
      </c>
      <c r="E61" s="281">
        <v>32085</v>
      </c>
      <c r="F61" s="285">
        <f t="shared" si="45"/>
        <v>73.758620689655174</v>
      </c>
      <c r="G61" s="281">
        <v>11415</v>
      </c>
      <c r="H61" s="285">
        <f t="shared" si="46"/>
        <v>26.241379310344826</v>
      </c>
      <c r="I61" s="281">
        <v>11415</v>
      </c>
      <c r="J61" s="285">
        <f t="shared" si="47"/>
        <v>26.241379310344826</v>
      </c>
      <c r="K61" s="281">
        <f t="shared" si="48"/>
        <v>41352</v>
      </c>
      <c r="L61" s="281">
        <v>26901</v>
      </c>
      <c r="M61" s="285">
        <f t="shared" si="49"/>
        <v>65.053685432385379</v>
      </c>
      <c r="N61" s="281">
        <v>32937</v>
      </c>
      <c r="O61" s="285">
        <f t="shared" si="50"/>
        <v>79.650319210679044</v>
      </c>
      <c r="P61" s="281">
        <v>8415</v>
      </c>
      <c r="Q61" s="285">
        <f t="shared" si="51"/>
        <v>20.349680789320949</v>
      </c>
      <c r="R61" s="281">
        <v>6370</v>
      </c>
      <c r="S61" s="285">
        <f t="shared" si="52"/>
        <v>15.40433352679435</v>
      </c>
      <c r="T61" s="281">
        <v>15</v>
      </c>
      <c r="U61" s="285">
        <v>20</v>
      </c>
      <c r="V61" s="281">
        <v>31</v>
      </c>
      <c r="W61" s="281">
        <v>0</v>
      </c>
      <c r="X61" s="346">
        <v>0</v>
      </c>
      <c r="Y61" s="346">
        <v>0</v>
      </c>
      <c r="Z61" s="346">
        <v>0</v>
      </c>
      <c r="AA61" s="346">
        <v>0</v>
      </c>
      <c r="AB61" s="346">
        <v>0</v>
      </c>
      <c r="AC61" s="346">
        <v>0</v>
      </c>
    </row>
    <row r="62" spans="1:29" s="355" customFormat="1" ht="14.15" customHeight="1" thickBot="1">
      <c r="A62" s="920"/>
      <c r="B62" s="342">
        <v>32</v>
      </c>
      <c r="C62" s="247" t="s">
        <v>754</v>
      </c>
      <c r="D62" s="247">
        <f t="shared" si="44"/>
        <v>2200</v>
      </c>
      <c r="E62" s="247">
        <v>0</v>
      </c>
      <c r="F62" s="251">
        <f t="shared" si="45"/>
        <v>0</v>
      </c>
      <c r="G62" s="247">
        <v>2200</v>
      </c>
      <c r="H62" s="251">
        <f t="shared" si="46"/>
        <v>100</v>
      </c>
      <c r="I62" s="247">
        <v>2200</v>
      </c>
      <c r="J62" s="251">
        <f t="shared" si="47"/>
        <v>100</v>
      </c>
      <c r="K62" s="247">
        <f t="shared" si="48"/>
        <v>1440</v>
      </c>
      <c r="L62" s="247">
        <v>0</v>
      </c>
      <c r="M62" s="251">
        <f t="shared" si="49"/>
        <v>0</v>
      </c>
      <c r="N62" s="247">
        <v>0</v>
      </c>
      <c r="O62" s="251">
        <f t="shared" si="50"/>
        <v>0</v>
      </c>
      <c r="P62" s="247">
        <v>1440</v>
      </c>
      <c r="Q62" s="251">
        <f t="shared" si="51"/>
        <v>100</v>
      </c>
      <c r="R62" s="247">
        <v>1440</v>
      </c>
      <c r="S62" s="251">
        <f t="shared" si="52"/>
        <v>100</v>
      </c>
      <c r="T62" s="247">
        <v>0</v>
      </c>
      <c r="U62" s="251">
        <v>0</v>
      </c>
      <c r="V62" s="247">
        <v>0</v>
      </c>
      <c r="W62" s="247">
        <v>0</v>
      </c>
      <c r="X62" s="342">
        <v>0</v>
      </c>
      <c r="Y62" s="342">
        <v>0</v>
      </c>
      <c r="Z62" s="342">
        <v>0</v>
      </c>
      <c r="AA62" s="342">
        <v>0</v>
      </c>
      <c r="AB62" s="342">
        <v>0</v>
      </c>
      <c r="AC62" s="342">
        <v>0</v>
      </c>
    </row>
    <row r="63" spans="1:29" ht="14.15" customHeight="1" thickTop="1">
      <c r="A63" s="920"/>
      <c r="B63" s="252"/>
      <c r="C63" s="385" t="s">
        <v>34</v>
      </c>
      <c r="D63" s="385">
        <f>SUM(D56:D62)</f>
        <v>105192</v>
      </c>
      <c r="E63" s="385">
        <f>SUM(E56:E62)</f>
        <v>67432</v>
      </c>
      <c r="F63" s="417">
        <f t="shared" si="45"/>
        <v>64.103734124268001</v>
      </c>
      <c r="G63" s="385">
        <f>SUM(G56:G62)</f>
        <v>37760</v>
      </c>
      <c r="H63" s="417">
        <f t="shared" si="46"/>
        <v>35.896265875731999</v>
      </c>
      <c r="I63" s="385">
        <f>SUM(I56:I62)</f>
        <v>37760</v>
      </c>
      <c r="J63" s="417">
        <f t="shared" si="47"/>
        <v>35.896265875731999</v>
      </c>
      <c r="K63" s="259">
        <f>SUM(K56:K62)</f>
        <v>156921</v>
      </c>
      <c r="L63" s="385">
        <f>SUM(L56:L62)</f>
        <v>90245</v>
      </c>
      <c r="M63" s="417">
        <f t="shared" si="49"/>
        <v>57.509829786962861</v>
      </c>
      <c r="N63" s="385">
        <f>SUM(N56:N62)</f>
        <v>96765</v>
      </c>
      <c r="O63" s="417">
        <f t="shared" si="50"/>
        <v>61.664786739824493</v>
      </c>
      <c r="P63" s="259">
        <f>SUM(P56:P62)</f>
        <v>60156</v>
      </c>
      <c r="Q63" s="417">
        <f t="shared" si="51"/>
        <v>38.335213260175507</v>
      </c>
      <c r="R63" s="385">
        <f>SUM(R56:R62)</f>
        <v>46011</v>
      </c>
      <c r="S63" s="417">
        <f t="shared" si="52"/>
        <v>29.321123367809282</v>
      </c>
      <c r="T63" s="385">
        <f t="shared" ref="T63:AC63" si="53">SUM(T56:T62)</f>
        <v>40</v>
      </c>
      <c r="U63" s="385">
        <f t="shared" si="53"/>
        <v>142.9</v>
      </c>
      <c r="V63" s="385">
        <f t="shared" si="53"/>
        <v>48</v>
      </c>
      <c r="W63" s="385">
        <f t="shared" si="53"/>
        <v>3420</v>
      </c>
      <c r="X63" s="385">
        <f t="shared" si="53"/>
        <v>0</v>
      </c>
      <c r="Y63" s="385">
        <f t="shared" si="53"/>
        <v>0</v>
      </c>
      <c r="Z63" s="385">
        <f t="shared" si="53"/>
        <v>1</v>
      </c>
      <c r="AA63" s="385">
        <f t="shared" si="53"/>
        <v>200</v>
      </c>
      <c r="AB63" s="385">
        <f t="shared" si="53"/>
        <v>613</v>
      </c>
      <c r="AC63" s="385">
        <f t="shared" si="53"/>
        <v>100</v>
      </c>
    </row>
    <row r="64" spans="1:29" ht="14.15" customHeight="1">
      <c r="A64" s="920"/>
      <c r="B64" s="263"/>
      <c r="C64" s="357"/>
      <c r="D64" s="357"/>
      <c r="E64" s="357"/>
      <c r="F64" s="418"/>
      <c r="G64" s="357"/>
      <c r="H64" s="418"/>
      <c r="I64" s="357"/>
      <c r="J64" s="418"/>
      <c r="K64" s="270"/>
      <c r="L64" s="357"/>
      <c r="M64" s="418"/>
      <c r="N64" s="357"/>
      <c r="O64" s="418"/>
      <c r="P64" s="270"/>
      <c r="Q64" s="418"/>
      <c r="R64" s="357"/>
      <c r="S64" s="418"/>
      <c r="T64" s="270"/>
      <c r="U64" s="270"/>
      <c r="V64" s="270"/>
      <c r="W64" s="270"/>
      <c r="X64" s="270"/>
      <c r="Y64" s="270"/>
      <c r="Z64" s="270"/>
      <c r="AA64" s="270"/>
      <c r="AB64" s="270"/>
      <c r="AC64" s="270"/>
    </row>
    <row r="65" spans="1:29" s="355" customFormat="1" ht="14.15" customHeight="1">
      <c r="A65" s="921" t="s">
        <v>520</v>
      </c>
      <c r="B65" s="339">
        <v>9</v>
      </c>
      <c r="C65" s="231" t="s">
        <v>755</v>
      </c>
      <c r="D65" s="231">
        <f t="shared" ref="D65:D68" si="54">E65+G65</f>
        <v>12887</v>
      </c>
      <c r="E65" s="231">
        <v>504</v>
      </c>
      <c r="F65" s="236">
        <f>E65/$D65*100</f>
        <v>3.9109179793590436</v>
      </c>
      <c r="G65" s="231">
        <v>12383</v>
      </c>
      <c r="H65" s="236">
        <f>G65/$D65*100</f>
        <v>96.089082020640959</v>
      </c>
      <c r="I65" s="231">
        <v>12383</v>
      </c>
      <c r="J65" s="236">
        <f>I65/$D65*100</f>
        <v>96.089082020640959</v>
      </c>
      <c r="K65" s="231">
        <f t="shared" ref="K65:K68" si="55">N65+P65</f>
        <v>9370</v>
      </c>
      <c r="L65" s="231">
        <v>2496</v>
      </c>
      <c r="M65" s="236">
        <f>L65/$K65*100</f>
        <v>26.638207043756669</v>
      </c>
      <c r="N65" s="231">
        <v>9370</v>
      </c>
      <c r="O65" s="236">
        <f>N65/$K65*100</f>
        <v>100</v>
      </c>
      <c r="P65" s="231">
        <v>0</v>
      </c>
      <c r="Q65" s="236">
        <f>P65/$K65*100</f>
        <v>0</v>
      </c>
      <c r="R65" s="231">
        <v>0</v>
      </c>
      <c r="S65" s="236">
        <f>R65/$K65*100</f>
        <v>0</v>
      </c>
      <c r="T65" s="231">
        <v>0</v>
      </c>
      <c r="U65" s="236">
        <v>0</v>
      </c>
      <c r="V65" s="2116">
        <v>2</v>
      </c>
      <c r="W65" s="231">
        <v>132</v>
      </c>
      <c r="X65" s="339">
        <v>0</v>
      </c>
      <c r="Y65" s="339">
        <v>0</v>
      </c>
      <c r="Z65" s="339">
        <v>0</v>
      </c>
      <c r="AA65" s="339">
        <v>0</v>
      </c>
      <c r="AB65" s="339">
        <v>0</v>
      </c>
      <c r="AC65" s="339">
        <v>0</v>
      </c>
    </row>
    <row r="66" spans="1:29" s="355" customFormat="1" ht="14.15" customHeight="1">
      <c r="A66" s="921"/>
      <c r="B66" s="340">
        <v>22</v>
      </c>
      <c r="C66" s="239" t="s">
        <v>757</v>
      </c>
      <c r="D66" s="239">
        <f t="shared" si="54"/>
        <v>6000</v>
      </c>
      <c r="E66" s="239">
        <v>0</v>
      </c>
      <c r="F66" s="244">
        <f>E66/$D66*100</f>
        <v>0</v>
      </c>
      <c r="G66" s="239">
        <v>6000</v>
      </c>
      <c r="H66" s="244">
        <f>G66/$D66*100</f>
        <v>100</v>
      </c>
      <c r="I66" s="239">
        <v>600</v>
      </c>
      <c r="J66" s="244">
        <f>I66/$D66*100</f>
        <v>10</v>
      </c>
      <c r="K66" s="239">
        <f t="shared" si="55"/>
        <v>4128</v>
      </c>
      <c r="L66" s="239">
        <v>0</v>
      </c>
      <c r="M66" s="244">
        <f>L66/$K66*100</f>
        <v>0</v>
      </c>
      <c r="N66" s="239">
        <v>4128</v>
      </c>
      <c r="O66" s="244">
        <f>N66/$K66*100</f>
        <v>100</v>
      </c>
      <c r="P66" s="239">
        <v>0</v>
      </c>
      <c r="Q66" s="244">
        <f>P66/$K66*100</f>
        <v>0</v>
      </c>
      <c r="R66" s="239">
        <v>0</v>
      </c>
      <c r="S66" s="244">
        <f>R66/$K66*100</f>
        <v>0</v>
      </c>
      <c r="T66" s="239">
        <v>0</v>
      </c>
      <c r="U66" s="244">
        <v>0</v>
      </c>
      <c r="V66" s="239">
        <v>3</v>
      </c>
      <c r="W66" s="239">
        <v>5400</v>
      </c>
      <c r="X66" s="340">
        <v>0</v>
      </c>
      <c r="Y66" s="340">
        <v>0</v>
      </c>
      <c r="Z66" s="340">
        <v>0</v>
      </c>
      <c r="AA66" s="340">
        <v>0</v>
      </c>
      <c r="AB66" s="340">
        <v>0</v>
      </c>
      <c r="AC66" s="340">
        <v>0</v>
      </c>
    </row>
    <row r="67" spans="1:29" s="355" customFormat="1" ht="14.15" customHeight="1">
      <c r="A67" s="921"/>
      <c r="B67" s="340">
        <v>74</v>
      </c>
      <c r="C67" s="239" t="s">
        <v>758</v>
      </c>
      <c r="D67" s="239">
        <f t="shared" si="54"/>
        <v>4500</v>
      </c>
      <c r="E67" s="239">
        <v>0</v>
      </c>
      <c r="F67" s="244">
        <f>E67/$D67*100</f>
        <v>0</v>
      </c>
      <c r="G67" s="239">
        <v>4500</v>
      </c>
      <c r="H67" s="244">
        <f>G67/$D67*100</f>
        <v>100</v>
      </c>
      <c r="I67" s="239">
        <v>4500</v>
      </c>
      <c r="J67" s="244">
        <f>I67/$D67*100</f>
        <v>100</v>
      </c>
      <c r="K67" s="239">
        <f t="shared" si="55"/>
        <v>3050</v>
      </c>
      <c r="L67" s="239">
        <v>0</v>
      </c>
      <c r="M67" s="244">
        <f>L67/$K67*100</f>
        <v>0</v>
      </c>
      <c r="N67" s="239">
        <v>0</v>
      </c>
      <c r="O67" s="244">
        <f>N67/$K67*100</f>
        <v>0</v>
      </c>
      <c r="P67" s="239">
        <v>3050</v>
      </c>
      <c r="Q67" s="244">
        <f>P67/$K67*100</f>
        <v>100</v>
      </c>
      <c r="R67" s="239">
        <v>0</v>
      </c>
      <c r="S67" s="244">
        <f>R67/$K67*100</f>
        <v>0</v>
      </c>
      <c r="T67" s="239">
        <v>3</v>
      </c>
      <c r="U67" s="244">
        <v>12</v>
      </c>
      <c r="V67" s="239">
        <v>5</v>
      </c>
      <c r="W67" s="239">
        <v>440</v>
      </c>
      <c r="X67" s="340">
        <v>0</v>
      </c>
      <c r="Y67" s="340">
        <v>0</v>
      </c>
      <c r="Z67" s="340">
        <v>0</v>
      </c>
      <c r="AA67" s="340">
        <v>0</v>
      </c>
      <c r="AB67" s="340">
        <v>36</v>
      </c>
      <c r="AC67" s="340">
        <v>1260</v>
      </c>
    </row>
    <row r="68" spans="1:29" s="355" customFormat="1" ht="14.15" customHeight="1" thickBot="1">
      <c r="A68" s="921"/>
      <c r="B68" s="342">
        <v>63</v>
      </c>
      <c r="C68" s="247" t="s">
        <v>759</v>
      </c>
      <c r="D68" s="247">
        <f t="shared" si="54"/>
        <v>21500</v>
      </c>
      <c r="E68" s="247">
        <v>0</v>
      </c>
      <c r="F68" s="251">
        <f>E68/$D68*100</f>
        <v>0</v>
      </c>
      <c r="G68" s="247">
        <v>21500</v>
      </c>
      <c r="H68" s="251">
        <f>G68/$D68*100</f>
        <v>100</v>
      </c>
      <c r="I68" s="247">
        <v>12850</v>
      </c>
      <c r="J68" s="251">
        <f>I68/$D68*100</f>
        <v>59.767441860465119</v>
      </c>
      <c r="K68" s="247">
        <f t="shared" si="55"/>
        <v>13067</v>
      </c>
      <c r="L68" s="247">
        <v>0</v>
      </c>
      <c r="M68" s="251">
        <f>L68/$K68*100</f>
        <v>0</v>
      </c>
      <c r="N68" s="247">
        <v>0</v>
      </c>
      <c r="O68" s="251">
        <f>N68/$K68*100</f>
        <v>0</v>
      </c>
      <c r="P68" s="247">
        <v>13067</v>
      </c>
      <c r="Q68" s="251">
        <f>P68/$K68*100</f>
        <v>100</v>
      </c>
      <c r="R68" s="247">
        <v>13067</v>
      </c>
      <c r="S68" s="251">
        <f>R68/$K68*100</f>
        <v>100</v>
      </c>
      <c r="T68" s="247">
        <v>0</v>
      </c>
      <c r="U68" s="251">
        <v>0</v>
      </c>
      <c r="V68" s="247">
        <v>5</v>
      </c>
      <c r="W68" s="247">
        <v>308</v>
      </c>
      <c r="X68" s="342">
        <v>0</v>
      </c>
      <c r="Y68" s="342">
        <v>0</v>
      </c>
      <c r="Z68" s="342">
        <v>0</v>
      </c>
      <c r="AA68" s="342">
        <v>0</v>
      </c>
      <c r="AB68" s="342">
        <v>0</v>
      </c>
      <c r="AC68" s="342">
        <v>0</v>
      </c>
    </row>
    <row r="69" spans="1:29" ht="14.15" customHeight="1" thickTop="1">
      <c r="A69" s="921"/>
      <c r="B69" s="252"/>
      <c r="C69" s="385" t="s">
        <v>34</v>
      </c>
      <c r="D69" s="385">
        <f>SUM(D65:D68)</f>
        <v>44887</v>
      </c>
      <c r="E69" s="385">
        <f>SUM(E65:E68)</f>
        <v>504</v>
      </c>
      <c r="F69" s="417">
        <f>E69/$D69*100</f>
        <v>1.1228195245839554</v>
      </c>
      <c r="G69" s="385">
        <f>SUM(G65:G68)</f>
        <v>44383</v>
      </c>
      <c r="H69" s="417">
        <f>G69/$D69*100</f>
        <v>98.877180475416054</v>
      </c>
      <c r="I69" s="385">
        <f>SUM(I65:I68)</f>
        <v>30333</v>
      </c>
      <c r="J69" s="417">
        <f>I69/$D69*100</f>
        <v>67.576358411121262</v>
      </c>
      <c r="K69" s="259">
        <f>SUM(K65:K68)</f>
        <v>29615</v>
      </c>
      <c r="L69" s="385">
        <f>SUM(L65:L68)</f>
        <v>2496</v>
      </c>
      <c r="M69" s="417">
        <f>L69/$K69*100</f>
        <v>8.4281614046935669</v>
      </c>
      <c r="N69" s="385">
        <f>SUM(N65:N68)</f>
        <v>13498</v>
      </c>
      <c r="O69" s="417">
        <f>N69/$K69*100</f>
        <v>45.578254263042375</v>
      </c>
      <c r="P69" s="259">
        <f>SUM(P65:P68)</f>
        <v>16117</v>
      </c>
      <c r="Q69" s="417">
        <f>P69/$K69*100</f>
        <v>54.421745736957625</v>
      </c>
      <c r="R69" s="385">
        <f>SUM(R65:R68)</f>
        <v>13067</v>
      </c>
      <c r="S69" s="417">
        <f>R69/$K69*100</f>
        <v>44.12291068715178</v>
      </c>
      <c r="T69" s="385">
        <f>SUM(T65:T68)</f>
        <v>3</v>
      </c>
      <c r="U69" s="385">
        <f t="shared" ref="U69:AC69" si="56">SUM(U65:U68)</f>
        <v>12</v>
      </c>
      <c r="V69" s="385">
        <f t="shared" si="56"/>
        <v>15</v>
      </c>
      <c r="W69" s="385">
        <f t="shared" si="56"/>
        <v>6280</v>
      </c>
      <c r="X69" s="385">
        <f t="shared" si="56"/>
        <v>0</v>
      </c>
      <c r="Y69" s="385">
        <f t="shared" si="56"/>
        <v>0</v>
      </c>
      <c r="Z69" s="385">
        <f t="shared" si="56"/>
        <v>0</v>
      </c>
      <c r="AA69" s="385">
        <f t="shared" si="56"/>
        <v>0</v>
      </c>
      <c r="AB69" s="385">
        <f t="shared" si="56"/>
        <v>36</v>
      </c>
      <c r="AC69" s="385">
        <f t="shared" si="56"/>
        <v>1260</v>
      </c>
    </row>
    <row r="70" spans="1:29" ht="14.15" customHeight="1">
      <c r="A70" s="921"/>
      <c r="B70" s="263"/>
      <c r="C70" s="357"/>
      <c r="D70" s="357"/>
      <c r="E70" s="357"/>
      <c r="F70" s="418"/>
      <c r="G70" s="357"/>
      <c r="H70" s="418"/>
      <c r="I70" s="357"/>
      <c r="J70" s="418"/>
      <c r="K70" s="270"/>
      <c r="L70" s="357"/>
      <c r="M70" s="418"/>
      <c r="N70" s="357"/>
      <c r="O70" s="418"/>
      <c r="P70" s="270"/>
      <c r="Q70" s="418"/>
      <c r="R70" s="357"/>
      <c r="S70" s="418"/>
      <c r="T70" s="270"/>
      <c r="U70" s="270"/>
      <c r="V70" s="270"/>
      <c r="W70" s="270"/>
      <c r="X70" s="270"/>
      <c r="Y70" s="270"/>
      <c r="Z70" s="270"/>
      <c r="AA70" s="270"/>
      <c r="AB70" s="270"/>
      <c r="AC70" s="270"/>
    </row>
    <row r="71" spans="1:29" s="355" customFormat="1" ht="14.15" customHeight="1">
      <c r="A71" s="920" t="s">
        <v>255</v>
      </c>
      <c r="B71" s="339">
        <v>57</v>
      </c>
      <c r="C71" s="231" t="s">
        <v>517</v>
      </c>
      <c r="D71" s="231">
        <f t="shared" ref="D71:D79" si="57">E71+G71</f>
        <v>100000</v>
      </c>
      <c r="E71" s="231">
        <v>100000</v>
      </c>
      <c r="F71" s="236">
        <f t="shared" ref="F71:F80" si="58">E71/$D71*100</f>
        <v>100</v>
      </c>
      <c r="G71" s="231">
        <v>0</v>
      </c>
      <c r="H71" s="236">
        <f t="shared" ref="H71:H80" si="59">G71/$D71*100</f>
        <v>0</v>
      </c>
      <c r="I71" s="231">
        <v>0</v>
      </c>
      <c r="J71" s="236">
        <f t="shared" ref="J71:J80" si="60">I71/$D71*100</f>
        <v>0</v>
      </c>
      <c r="K71" s="231">
        <f t="shared" ref="K71:K79" si="61">N71+P71</f>
        <v>52647</v>
      </c>
      <c r="L71" s="231">
        <v>45179</v>
      </c>
      <c r="M71" s="236">
        <f t="shared" ref="M71:M80" si="62">L71/$K71*100</f>
        <v>85.814956217828183</v>
      </c>
      <c r="N71" s="231">
        <v>47134</v>
      </c>
      <c r="O71" s="236">
        <f t="shared" ref="O71:O80" si="63">N71/$K71*100</f>
        <v>89.528368188120879</v>
      </c>
      <c r="P71" s="231">
        <v>5513</v>
      </c>
      <c r="Q71" s="236">
        <f t="shared" ref="Q71:Q80" si="64">P71/$K71*100</f>
        <v>10.471631811879119</v>
      </c>
      <c r="R71" s="231">
        <v>5513</v>
      </c>
      <c r="S71" s="236">
        <f t="shared" ref="S71:S80" si="65">R71/$K71*100</f>
        <v>10.471631811879119</v>
      </c>
      <c r="T71" s="231">
        <v>17</v>
      </c>
      <c r="U71" s="236">
        <v>17.899999999999999</v>
      </c>
      <c r="V71" s="231">
        <v>1</v>
      </c>
      <c r="W71" s="231">
        <v>24</v>
      </c>
      <c r="X71" s="339">
        <v>0</v>
      </c>
      <c r="Y71" s="339">
        <v>0</v>
      </c>
      <c r="Z71" s="339">
        <v>0</v>
      </c>
      <c r="AA71" s="339">
        <v>0</v>
      </c>
      <c r="AB71" s="339">
        <v>0</v>
      </c>
      <c r="AC71" s="339">
        <v>0</v>
      </c>
    </row>
    <row r="72" spans="1:29" s="355" customFormat="1" ht="14.15" customHeight="1">
      <c r="A72" s="920"/>
      <c r="B72" s="340">
        <v>1</v>
      </c>
      <c r="C72" s="239" t="s">
        <v>760</v>
      </c>
      <c r="D72" s="239">
        <f t="shared" si="57"/>
        <v>165039</v>
      </c>
      <c r="E72" s="239">
        <v>75023</v>
      </c>
      <c r="F72" s="244">
        <f t="shared" si="58"/>
        <v>45.45774029168863</v>
      </c>
      <c r="G72" s="239">
        <v>90016</v>
      </c>
      <c r="H72" s="244">
        <f t="shared" si="59"/>
        <v>54.54225970831137</v>
      </c>
      <c r="I72" s="239">
        <v>85699</v>
      </c>
      <c r="J72" s="244">
        <f t="shared" si="60"/>
        <v>51.926514339035009</v>
      </c>
      <c r="K72" s="239">
        <f t="shared" si="61"/>
        <v>120187</v>
      </c>
      <c r="L72" s="239">
        <v>40438</v>
      </c>
      <c r="M72" s="244">
        <f t="shared" si="62"/>
        <v>33.645901803023619</v>
      </c>
      <c r="N72" s="239">
        <v>42074</v>
      </c>
      <c r="O72" s="244">
        <f t="shared" si="63"/>
        <v>35.007113914150452</v>
      </c>
      <c r="P72" s="239">
        <v>78113</v>
      </c>
      <c r="Q72" s="244">
        <f t="shared" si="64"/>
        <v>64.992886085849548</v>
      </c>
      <c r="R72" s="239">
        <v>78113</v>
      </c>
      <c r="S72" s="244">
        <f t="shared" si="65"/>
        <v>64.992886085849548</v>
      </c>
      <c r="T72" s="239">
        <v>23</v>
      </c>
      <c r="U72" s="244">
        <v>9.5</v>
      </c>
      <c r="V72" s="239">
        <v>0</v>
      </c>
      <c r="W72" s="239">
        <v>0</v>
      </c>
      <c r="X72" s="340">
        <v>1</v>
      </c>
      <c r="Y72" s="340">
        <v>500</v>
      </c>
      <c r="Z72" s="340">
        <v>1</v>
      </c>
      <c r="AA72" s="340">
        <v>300</v>
      </c>
      <c r="AB72" s="340">
        <v>0</v>
      </c>
      <c r="AC72" s="340">
        <v>0</v>
      </c>
    </row>
    <row r="73" spans="1:29" s="355" customFormat="1" ht="14.15" customHeight="1">
      <c r="A73" s="920"/>
      <c r="B73" s="340">
        <v>10</v>
      </c>
      <c r="C73" s="239" t="s">
        <v>761</v>
      </c>
      <c r="D73" s="239">
        <f t="shared" si="57"/>
        <v>21800</v>
      </c>
      <c r="E73" s="239">
        <v>800</v>
      </c>
      <c r="F73" s="244">
        <f t="shared" si="58"/>
        <v>3.669724770642202</v>
      </c>
      <c r="G73" s="239">
        <v>21000</v>
      </c>
      <c r="H73" s="244">
        <f t="shared" si="59"/>
        <v>96.330275229357795</v>
      </c>
      <c r="I73" s="239">
        <v>0</v>
      </c>
      <c r="J73" s="244">
        <f t="shared" si="60"/>
        <v>0</v>
      </c>
      <c r="K73" s="239">
        <f t="shared" si="61"/>
        <v>21800</v>
      </c>
      <c r="L73" s="239">
        <v>0</v>
      </c>
      <c r="M73" s="244">
        <f t="shared" si="62"/>
        <v>0</v>
      </c>
      <c r="N73" s="239">
        <v>0</v>
      </c>
      <c r="O73" s="244">
        <f t="shared" si="63"/>
        <v>0</v>
      </c>
      <c r="P73" s="239">
        <v>21800</v>
      </c>
      <c r="Q73" s="244">
        <f t="shared" si="64"/>
        <v>100</v>
      </c>
      <c r="R73" s="239">
        <v>0</v>
      </c>
      <c r="S73" s="244">
        <f t="shared" si="65"/>
        <v>0</v>
      </c>
      <c r="T73" s="2117">
        <v>3</v>
      </c>
      <c r="U73" s="244">
        <v>5.4</v>
      </c>
      <c r="V73" s="2117">
        <v>14</v>
      </c>
      <c r="W73" s="2117">
        <v>530</v>
      </c>
      <c r="X73" s="340">
        <v>0</v>
      </c>
      <c r="Y73" s="340">
        <v>0</v>
      </c>
      <c r="Z73" s="340">
        <v>0</v>
      </c>
      <c r="AA73" s="340">
        <v>0</v>
      </c>
      <c r="AB73" s="340">
        <v>0</v>
      </c>
      <c r="AC73" s="340">
        <v>0</v>
      </c>
    </row>
    <row r="74" spans="1:29" s="355" customFormat="1" ht="14.15" customHeight="1">
      <c r="A74" s="920"/>
      <c r="B74" s="340">
        <v>26</v>
      </c>
      <c r="C74" s="239" t="s">
        <v>762</v>
      </c>
      <c r="D74" s="239">
        <f t="shared" si="57"/>
        <v>5328</v>
      </c>
      <c r="E74" s="239">
        <v>0</v>
      </c>
      <c r="F74" s="244">
        <f t="shared" si="58"/>
        <v>0</v>
      </c>
      <c r="G74" s="239">
        <v>5328</v>
      </c>
      <c r="H74" s="244">
        <f t="shared" si="59"/>
        <v>100</v>
      </c>
      <c r="I74" s="239">
        <v>5328</v>
      </c>
      <c r="J74" s="244">
        <f t="shared" si="60"/>
        <v>100</v>
      </c>
      <c r="K74" s="239">
        <f t="shared" si="61"/>
        <v>1047</v>
      </c>
      <c r="L74" s="239">
        <v>0</v>
      </c>
      <c r="M74" s="244">
        <f t="shared" si="62"/>
        <v>0</v>
      </c>
      <c r="N74" s="239">
        <v>0</v>
      </c>
      <c r="O74" s="244">
        <f t="shared" si="63"/>
        <v>0</v>
      </c>
      <c r="P74" s="239">
        <v>1047</v>
      </c>
      <c r="Q74" s="244">
        <f t="shared" si="64"/>
        <v>100</v>
      </c>
      <c r="R74" s="239">
        <v>1047</v>
      </c>
      <c r="S74" s="244">
        <f t="shared" si="65"/>
        <v>100</v>
      </c>
      <c r="T74" s="239">
        <v>0</v>
      </c>
      <c r="U74" s="244">
        <v>0</v>
      </c>
      <c r="V74" s="239">
        <v>0</v>
      </c>
      <c r="W74" s="239">
        <v>0</v>
      </c>
      <c r="X74" s="340">
        <v>0</v>
      </c>
      <c r="Y74" s="340">
        <v>0</v>
      </c>
      <c r="Z74" s="340">
        <v>0</v>
      </c>
      <c r="AA74" s="340">
        <v>0</v>
      </c>
      <c r="AB74" s="340">
        <v>0</v>
      </c>
      <c r="AC74" s="340">
        <v>0</v>
      </c>
    </row>
    <row r="75" spans="1:29" s="355" customFormat="1" ht="14.15" customHeight="1">
      <c r="A75" s="920"/>
      <c r="B75" s="340">
        <v>15</v>
      </c>
      <c r="C75" s="239" t="s">
        <v>763</v>
      </c>
      <c r="D75" s="239">
        <f t="shared" si="57"/>
        <v>8400</v>
      </c>
      <c r="E75" s="239">
        <v>0</v>
      </c>
      <c r="F75" s="244">
        <f t="shared" si="58"/>
        <v>0</v>
      </c>
      <c r="G75" s="239">
        <v>8400</v>
      </c>
      <c r="H75" s="244">
        <f t="shared" si="59"/>
        <v>100</v>
      </c>
      <c r="I75" s="239">
        <v>8400</v>
      </c>
      <c r="J75" s="244">
        <f t="shared" si="60"/>
        <v>100</v>
      </c>
      <c r="K75" s="239">
        <f t="shared" si="61"/>
        <v>16800</v>
      </c>
      <c r="L75" s="239">
        <v>0</v>
      </c>
      <c r="M75" s="244">
        <f t="shared" si="62"/>
        <v>0</v>
      </c>
      <c r="N75" s="239">
        <v>0</v>
      </c>
      <c r="O75" s="244">
        <f t="shared" si="63"/>
        <v>0</v>
      </c>
      <c r="P75" s="239">
        <v>16800</v>
      </c>
      <c r="Q75" s="244">
        <f t="shared" si="64"/>
        <v>100</v>
      </c>
      <c r="R75" s="239">
        <v>0</v>
      </c>
      <c r="S75" s="244">
        <f t="shared" si="65"/>
        <v>0</v>
      </c>
      <c r="T75" s="2117">
        <v>0</v>
      </c>
      <c r="U75" s="244">
        <v>0</v>
      </c>
      <c r="V75" s="2117">
        <v>0</v>
      </c>
      <c r="W75" s="2117">
        <v>0</v>
      </c>
      <c r="X75" s="340">
        <v>0</v>
      </c>
      <c r="Y75" s="340">
        <v>0</v>
      </c>
      <c r="Z75" s="340">
        <v>0</v>
      </c>
      <c r="AA75" s="340">
        <v>0</v>
      </c>
      <c r="AB75" s="340">
        <v>0</v>
      </c>
      <c r="AC75" s="340">
        <v>0</v>
      </c>
    </row>
    <row r="76" spans="1:29" s="355" customFormat="1" ht="14.15" customHeight="1">
      <c r="A76" s="920"/>
      <c r="B76" s="340">
        <v>87</v>
      </c>
      <c r="C76" s="239" t="s">
        <v>764</v>
      </c>
      <c r="D76" s="239">
        <f t="shared" si="57"/>
        <v>3839</v>
      </c>
      <c r="E76" s="239">
        <v>0</v>
      </c>
      <c r="F76" s="244">
        <f t="shared" si="58"/>
        <v>0</v>
      </c>
      <c r="G76" s="239">
        <v>3839</v>
      </c>
      <c r="H76" s="244">
        <f t="shared" si="59"/>
        <v>100</v>
      </c>
      <c r="I76" s="239">
        <v>3839</v>
      </c>
      <c r="J76" s="244">
        <f t="shared" si="60"/>
        <v>100</v>
      </c>
      <c r="K76" s="239">
        <f t="shared" si="61"/>
        <v>3443</v>
      </c>
      <c r="L76" s="239">
        <v>0</v>
      </c>
      <c r="M76" s="244">
        <f t="shared" si="62"/>
        <v>0</v>
      </c>
      <c r="N76" s="239">
        <v>0</v>
      </c>
      <c r="O76" s="244">
        <f t="shared" si="63"/>
        <v>0</v>
      </c>
      <c r="P76" s="239">
        <v>3443</v>
      </c>
      <c r="Q76" s="244">
        <f t="shared" si="64"/>
        <v>100</v>
      </c>
      <c r="R76" s="239">
        <v>3143</v>
      </c>
      <c r="S76" s="244">
        <f t="shared" si="65"/>
        <v>91.286668602962521</v>
      </c>
      <c r="T76" s="239">
        <v>0</v>
      </c>
      <c r="U76" s="244">
        <v>0</v>
      </c>
      <c r="V76" s="239">
        <v>6</v>
      </c>
      <c r="W76" s="239">
        <v>186</v>
      </c>
      <c r="X76" s="340">
        <v>0</v>
      </c>
      <c r="Y76" s="340">
        <v>0</v>
      </c>
      <c r="Z76" s="340">
        <v>0</v>
      </c>
      <c r="AA76" s="340">
        <v>0</v>
      </c>
      <c r="AB76" s="340">
        <v>0</v>
      </c>
      <c r="AC76" s="340">
        <v>0</v>
      </c>
    </row>
    <row r="77" spans="1:29" s="355" customFormat="1" ht="14.15" customHeight="1">
      <c r="A77" s="920"/>
      <c r="B77" s="340">
        <v>81</v>
      </c>
      <c r="C77" s="239" t="s">
        <v>765</v>
      </c>
      <c r="D77" s="239">
        <f t="shared" si="57"/>
        <v>6750</v>
      </c>
      <c r="E77" s="239">
        <v>0</v>
      </c>
      <c r="F77" s="244">
        <f t="shared" si="58"/>
        <v>0</v>
      </c>
      <c r="G77" s="239">
        <v>6750</v>
      </c>
      <c r="H77" s="244">
        <f t="shared" si="59"/>
        <v>100</v>
      </c>
      <c r="I77" s="239">
        <v>6750</v>
      </c>
      <c r="J77" s="244">
        <f t="shared" si="60"/>
        <v>100</v>
      </c>
      <c r="K77" s="239">
        <f t="shared" si="61"/>
        <v>3729</v>
      </c>
      <c r="L77" s="239">
        <v>0</v>
      </c>
      <c r="M77" s="244">
        <f t="shared" si="62"/>
        <v>0</v>
      </c>
      <c r="N77" s="239">
        <v>0</v>
      </c>
      <c r="O77" s="244">
        <f t="shared" si="63"/>
        <v>0</v>
      </c>
      <c r="P77" s="239">
        <v>3729</v>
      </c>
      <c r="Q77" s="244">
        <f t="shared" si="64"/>
        <v>100</v>
      </c>
      <c r="R77" s="239">
        <v>3729</v>
      </c>
      <c r="S77" s="244">
        <f t="shared" si="65"/>
        <v>100</v>
      </c>
      <c r="T77" s="239">
        <v>0</v>
      </c>
      <c r="U77" s="244">
        <v>0</v>
      </c>
      <c r="V77" s="239">
        <v>0</v>
      </c>
      <c r="W77" s="239">
        <v>0</v>
      </c>
      <c r="X77" s="340">
        <v>0</v>
      </c>
      <c r="Y77" s="340">
        <v>0</v>
      </c>
      <c r="Z77" s="340">
        <v>0</v>
      </c>
      <c r="AA77" s="340">
        <v>0</v>
      </c>
      <c r="AB77" s="340">
        <v>0</v>
      </c>
      <c r="AC77" s="340">
        <v>0</v>
      </c>
    </row>
    <row r="78" spans="1:29" s="355" customFormat="1" ht="14.15" customHeight="1">
      <c r="A78" s="920"/>
      <c r="B78" s="340">
        <v>54</v>
      </c>
      <c r="C78" s="239" t="s">
        <v>766</v>
      </c>
      <c r="D78" s="239">
        <f t="shared" si="57"/>
        <v>3610</v>
      </c>
      <c r="E78" s="239">
        <v>3610</v>
      </c>
      <c r="F78" s="244">
        <f t="shared" si="58"/>
        <v>100</v>
      </c>
      <c r="G78" s="239">
        <v>0</v>
      </c>
      <c r="H78" s="244">
        <f t="shared" si="59"/>
        <v>0</v>
      </c>
      <c r="I78" s="239">
        <v>0</v>
      </c>
      <c r="J78" s="244">
        <f t="shared" si="60"/>
        <v>0</v>
      </c>
      <c r="K78" s="239">
        <f t="shared" si="61"/>
        <v>3964</v>
      </c>
      <c r="L78" s="239">
        <v>0</v>
      </c>
      <c r="M78" s="244">
        <f t="shared" si="62"/>
        <v>0</v>
      </c>
      <c r="N78" s="239">
        <v>0</v>
      </c>
      <c r="O78" s="244">
        <f t="shared" si="63"/>
        <v>0</v>
      </c>
      <c r="P78" s="239">
        <v>3964</v>
      </c>
      <c r="Q78" s="244">
        <f t="shared" si="64"/>
        <v>100</v>
      </c>
      <c r="R78" s="239">
        <v>3964</v>
      </c>
      <c r="S78" s="244">
        <f t="shared" si="65"/>
        <v>100</v>
      </c>
      <c r="T78" s="239">
        <v>0</v>
      </c>
      <c r="U78" s="244">
        <v>0</v>
      </c>
      <c r="V78" s="239">
        <v>5</v>
      </c>
      <c r="W78" s="239">
        <v>82</v>
      </c>
      <c r="X78" s="340">
        <v>0</v>
      </c>
      <c r="Y78" s="340">
        <v>0</v>
      </c>
      <c r="Z78" s="340">
        <v>0</v>
      </c>
      <c r="AA78" s="340">
        <v>0</v>
      </c>
      <c r="AB78" s="340">
        <v>0</v>
      </c>
      <c r="AC78" s="340">
        <v>0</v>
      </c>
    </row>
    <row r="79" spans="1:29" s="355" customFormat="1" ht="14.15" customHeight="1" thickBot="1">
      <c r="A79" s="920"/>
      <c r="B79" s="342">
        <v>75</v>
      </c>
      <c r="C79" s="247" t="s">
        <v>767</v>
      </c>
      <c r="D79" s="247">
        <f t="shared" si="57"/>
        <v>2850</v>
      </c>
      <c r="E79" s="247">
        <v>0</v>
      </c>
      <c r="F79" s="251">
        <f t="shared" si="58"/>
        <v>0</v>
      </c>
      <c r="G79" s="247">
        <v>2850</v>
      </c>
      <c r="H79" s="251">
        <f t="shared" si="59"/>
        <v>100</v>
      </c>
      <c r="I79" s="247">
        <v>2850</v>
      </c>
      <c r="J79" s="251">
        <f t="shared" si="60"/>
        <v>100</v>
      </c>
      <c r="K79" s="247">
        <f t="shared" si="61"/>
        <v>2000</v>
      </c>
      <c r="L79" s="247">
        <v>0</v>
      </c>
      <c r="M79" s="251">
        <f t="shared" si="62"/>
        <v>0</v>
      </c>
      <c r="N79" s="247">
        <v>0</v>
      </c>
      <c r="O79" s="251">
        <f t="shared" si="63"/>
        <v>0</v>
      </c>
      <c r="P79" s="247">
        <v>2000</v>
      </c>
      <c r="Q79" s="251">
        <f t="shared" si="64"/>
        <v>100</v>
      </c>
      <c r="R79" s="247">
        <v>2000</v>
      </c>
      <c r="S79" s="251">
        <f t="shared" si="65"/>
        <v>100</v>
      </c>
      <c r="T79" s="247">
        <v>0</v>
      </c>
      <c r="U79" s="251">
        <v>0</v>
      </c>
      <c r="V79" s="247">
        <v>0</v>
      </c>
      <c r="W79" s="247">
        <v>0</v>
      </c>
      <c r="X79" s="342">
        <v>0</v>
      </c>
      <c r="Y79" s="342">
        <v>0</v>
      </c>
      <c r="Z79" s="342">
        <v>0</v>
      </c>
      <c r="AA79" s="342">
        <v>0</v>
      </c>
      <c r="AB79" s="342">
        <v>0</v>
      </c>
      <c r="AC79" s="342">
        <v>0</v>
      </c>
    </row>
    <row r="80" spans="1:29" ht="14.15" customHeight="1" thickTop="1">
      <c r="A80" s="920"/>
      <c r="B80" s="252"/>
      <c r="C80" s="385" t="s">
        <v>34</v>
      </c>
      <c r="D80" s="385">
        <f>SUM(D71:D79)</f>
        <v>317616</v>
      </c>
      <c r="E80" s="385">
        <f>SUM(E71:E79)</f>
        <v>179433</v>
      </c>
      <c r="F80" s="417">
        <f t="shared" si="58"/>
        <v>56.493690494181656</v>
      </c>
      <c r="G80" s="385">
        <f>SUM(G71:G79)</f>
        <v>138183</v>
      </c>
      <c r="H80" s="417">
        <f t="shared" si="59"/>
        <v>43.506309505818344</v>
      </c>
      <c r="I80" s="385">
        <f>SUM(I71:I79)</f>
        <v>112866</v>
      </c>
      <c r="J80" s="417">
        <f t="shared" si="60"/>
        <v>35.535363457760319</v>
      </c>
      <c r="K80" s="259">
        <f>SUM(K71:K79)</f>
        <v>225617</v>
      </c>
      <c r="L80" s="385">
        <f>SUM(L71:L79)</f>
        <v>85617</v>
      </c>
      <c r="M80" s="417">
        <f t="shared" si="62"/>
        <v>37.947938320250692</v>
      </c>
      <c r="N80" s="385">
        <f>SUM(N71:N79)</f>
        <v>89208</v>
      </c>
      <c r="O80" s="417">
        <f t="shared" si="63"/>
        <v>39.539573702336263</v>
      </c>
      <c r="P80" s="259">
        <f>SUM(P71:P79)</f>
        <v>136409</v>
      </c>
      <c r="Q80" s="417">
        <f t="shared" si="64"/>
        <v>60.460426297663737</v>
      </c>
      <c r="R80" s="385">
        <f>SUM(R71:R79)</f>
        <v>97509</v>
      </c>
      <c r="S80" s="417">
        <f t="shared" si="65"/>
        <v>43.218817730933395</v>
      </c>
      <c r="T80" s="385">
        <f>SUM(T71:T79)</f>
        <v>43</v>
      </c>
      <c r="U80" s="385">
        <f t="shared" ref="U80:AC80" si="66">SUM(U71:U79)</f>
        <v>32.799999999999997</v>
      </c>
      <c r="V80" s="385">
        <f t="shared" si="66"/>
        <v>26</v>
      </c>
      <c r="W80" s="385">
        <f t="shared" si="66"/>
        <v>822</v>
      </c>
      <c r="X80" s="385">
        <f t="shared" si="66"/>
        <v>1</v>
      </c>
      <c r="Y80" s="385">
        <f t="shared" si="66"/>
        <v>500</v>
      </c>
      <c r="Z80" s="385">
        <f t="shared" si="66"/>
        <v>1</v>
      </c>
      <c r="AA80" s="385">
        <f t="shared" si="66"/>
        <v>300</v>
      </c>
      <c r="AB80" s="385">
        <f t="shared" si="66"/>
        <v>0</v>
      </c>
      <c r="AC80" s="385">
        <f t="shared" si="66"/>
        <v>0</v>
      </c>
    </row>
    <row r="81" spans="1:29" ht="14.15" customHeight="1">
      <c r="A81" s="920"/>
      <c r="B81" s="263"/>
      <c r="C81" s="357"/>
      <c r="D81" s="357"/>
      <c r="E81" s="357"/>
      <c r="F81" s="418"/>
      <c r="G81" s="357"/>
      <c r="H81" s="418"/>
      <c r="I81" s="357"/>
      <c r="J81" s="418"/>
      <c r="K81" s="270"/>
      <c r="L81" s="357"/>
      <c r="M81" s="418"/>
      <c r="N81" s="357"/>
      <c r="O81" s="418"/>
      <c r="P81" s="270"/>
      <c r="Q81" s="418"/>
      <c r="R81" s="357"/>
      <c r="S81" s="418"/>
      <c r="T81" s="270"/>
      <c r="U81" s="270"/>
      <c r="V81" s="270"/>
      <c r="W81" s="270"/>
      <c r="X81" s="270"/>
      <c r="Y81" s="270"/>
      <c r="Z81" s="270"/>
      <c r="AA81" s="270"/>
      <c r="AB81" s="270"/>
      <c r="AC81" s="270"/>
    </row>
    <row r="82" spans="1:29" s="355" customFormat="1" ht="14.15" customHeight="1">
      <c r="A82" s="920" t="s">
        <v>768</v>
      </c>
      <c r="B82" s="339">
        <v>2</v>
      </c>
      <c r="C82" s="231" t="s">
        <v>769</v>
      </c>
      <c r="D82" s="231">
        <f t="shared" ref="D82:D86" si="67">E82+G82</f>
        <v>41257</v>
      </c>
      <c r="E82" s="231">
        <v>6481</v>
      </c>
      <c r="F82" s="236">
        <f t="shared" ref="F82:F87" si="68">E82/$D82*100</f>
        <v>15.708849407373293</v>
      </c>
      <c r="G82" s="231">
        <v>34776</v>
      </c>
      <c r="H82" s="236">
        <f t="shared" ref="H82:H87" si="69">G82/$D82*100</f>
        <v>84.291150592626707</v>
      </c>
      <c r="I82" s="231">
        <v>0</v>
      </c>
      <c r="J82" s="236">
        <f t="shared" ref="J82:J87" si="70">I82/$D82*100</f>
        <v>0</v>
      </c>
      <c r="K82" s="231">
        <f t="shared" ref="K82:K86" si="71">N82+P82</f>
        <v>15220</v>
      </c>
      <c r="L82" s="231">
        <v>8285</v>
      </c>
      <c r="M82" s="236">
        <f t="shared" ref="M82:M87" si="72">L82/$K82*100</f>
        <v>54.434954007884365</v>
      </c>
      <c r="N82" s="231">
        <v>8421</v>
      </c>
      <c r="O82" s="236">
        <f t="shared" ref="O82:O87" si="73">N82/$K82*100</f>
        <v>55.32851511169514</v>
      </c>
      <c r="P82" s="231">
        <v>6799</v>
      </c>
      <c r="Q82" s="236">
        <f t="shared" ref="Q82:Q87" si="74">P82/$K82*100</f>
        <v>44.67148488830486</v>
      </c>
      <c r="R82" s="231">
        <v>5581</v>
      </c>
      <c r="S82" s="236">
        <f t="shared" ref="S82:S87" si="75">R82/$K82*100</f>
        <v>36.668856767411299</v>
      </c>
      <c r="T82" s="231">
        <v>4</v>
      </c>
      <c r="U82" s="236">
        <v>4.3</v>
      </c>
      <c r="V82" s="231">
        <v>3</v>
      </c>
      <c r="W82" s="231">
        <v>182</v>
      </c>
      <c r="X82" s="339">
        <v>0</v>
      </c>
      <c r="Y82" s="339">
        <v>0</v>
      </c>
      <c r="Z82" s="339">
        <v>0</v>
      </c>
      <c r="AA82" s="339">
        <v>0</v>
      </c>
      <c r="AB82" s="339">
        <v>0</v>
      </c>
      <c r="AC82" s="339">
        <v>0</v>
      </c>
    </row>
    <row r="83" spans="1:29" s="355" customFormat="1" ht="14.15" customHeight="1">
      <c r="A83" s="920"/>
      <c r="B83" s="340">
        <v>27</v>
      </c>
      <c r="C83" s="239" t="s">
        <v>770</v>
      </c>
      <c r="D83" s="239">
        <f t="shared" si="67"/>
        <v>10850</v>
      </c>
      <c r="E83" s="239">
        <v>0</v>
      </c>
      <c r="F83" s="244">
        <f t="shared" si="68"/>
        <v>0</v>
      </c>
      <c r="G83" s="239">
        <v>10850</v>
      </c>
      <c r="H83" s="244">
        <f t="shared" si="69"/>
        <v>100</v>
      </c>
      <c r="I83" s="239">
        <v>10850</v>
      </c>
      <c r="J83" s="244">
        <f t="shared" si="70"/>
        <v>100</v>
      </c>
      <c r="K83" s="239">
        <f t="shared" si="71"/>
        <v>12112</v>
      </c>
      <c r="L83" s="239">
        <v>0</v>
      </c>
      <c r="M83" s="244">
        <f t="shared" si="72"/>
        <v>0</v>
      </c>
      <c r="N83" s="239">
        <v>0</v>
      </c>
      <c r="O83" s="244">
        <f t="shared" si="73"/>
        <v>0</v>
      </c>
      <c r="P83" s="239">
        <v>12112</v>
      </c>
      <c r="Q83" s="244">
        <f t="shared" si="74"/>
        <v>100</v>
      </c>
      <c r="R83" s="239">
        <v>5476</v>
      </c>
      <c r="S83" s="244">
        <f t="shared" si="75"/>
        <v>45.211360634081906</v>
      </c>
      <c r="T83" s="239">
        <v>11</v>
      </c>
      <c r="U83" s="244">
        <v>14.6</v>
      </c>
      <c r="V83" s="239">
        <v>0</v>
      </c>
      <c r="W83" s="239">
        <v>0</v>
      </c>
      <c r="X83" s="340">
        <v>0</v>
      </c>
      <c r="Y83" s="340">
        <v>0</v>
      </c>
      <c r="Z83" s="340">
        <v>0</v>
      </c>
      <c r="AA83" s="340">
        <v>0</v>
      </c>
      <c r="AB83" s="340">
        <v>0</v>
      </c>
      <c r="AC83" s="340">
        <v>0</v>
      </c>
    </row>
    <row r="84" spans="1:29" s="355" customFormat="1" ht="14.15" customHeight="1">
      <c r="A84" s="920"/>
      <c r="B84" s="340">
        <v>21</v>
      </c>
      <c r="C84" s="239" t="s">
        <v>771</v>
      </c>
      <c r="D84" s="239">
        <f t="shared" si="67"/>
        <v>10376</v>
      </c>
      <c r="E84" s="239">
        <v>1500</v>
      </c>
      <c r="F84" s="244">
        <f t="shared" si="68"/>
        <v>14.45643793369314</v>
      </c>
      <c r="G84" s="239">
        <v>8876</v>
      </c>
      <c r="H84" s="244">
        <f t="shared" si="69"/>
        <v>85.543562066306862</v>
      </c>
      <c r="I84" s="239">
        <v>0</v>
      </c>
      <c r="J84" s="244">
        <f t="shared" si="70"/>
        <v>0</v>
      </c>
      <c r="K84" s="239">
        <f t="shared" si="71"/>
        <v>6438</v>
      </c>
      <c r="L84" s="239">
        <v>0</v>
      </c>
      <c r="M84" s="244">
        <f t="shared" si="72"/>
        <v>0</v>
      </c>
      <c r="N84" s="239">
        <v>0</v>
      </c>
      <c r="O84" s="244">
        <f t="shared" si="73"/>
        <v>0</v>
      </c>
      <c r="P84" s="239">
        <v>6438</v>
      </c>
      <c r="Q84" s="244">
        <f t="shared" si="74"/>
        <v>100</v>
      </c>
      <c r="R84" s="239">
        <v>6438</v>
      </c>
      <c r="S84" s="244">
        <f t="shared" si="75"/>
        <v>100</v>
      </c>
      <c r="T84" s="239">
        <v>0</v>
      </c>
      <c r="U84" s="244">
        <v>0</v>
      </c>
      <c r="V84" s="239">
        <v>1</v>
      </c>
      <c r="W84" s="239">
        <v>26</v>
      </c>
      <c r="X84" s="340">
        <v>0</v>
      </c>
      <c r="Y84" s="340">
        <v>0</v>
      </c>
      <c r="Z84" s="340">
        <v>0</v>
      </c>
      <c r="AA84" s="340">
        <v>0</v>
      </c>
      <c r="AB84" s="340">
        <v>0</v>
      </c>
      <c r="AC84" s="340">
        <v>0</v>
      </c>
    </row>
    <row r="85" spans="1:29" s="355" customFormat="1" ht="14.15" customHeight="1">
      <c r="A85" s="920"/>
      <c r="B85" s="340">
        <v>40</v>
      </c>
      <c r="C85" s="239" t="s">
        <v>772</v>
      </c>
      <c r="D85" s="239">
        <f t="shared" si="67"/>
        <v>2800</v>
      </c>
      <c r="E85" s="239">
        <v>500</v>
      </c>
      <c r="F85" s="244">
        <f t="shared" si="68"/>
        <v>17.857142857142858</v>
      </c>
      <c r="G85" s="239">
        <v>2300</v>
      </c>
      <c r="H85" s="244">
        <f t="shared" si="69"/>
        <v>82.142857142857139</v>
      </c>
      <c r="I85" s="239">
        <v>0</v>
      </c>
      <c r="J85" s="244">
        <f t="shared" si="70"/>
        <v>0</v>
      </c>
      <c r="K85" s="239">
        <f t="shared" si="71"/>
        <v>2242</v>
      </c>
      <c r="L85" s="239">
        <v>500</v>
      </c>
      <c r="M85" s="244">
        <f t="shared" si="72"/>
        <v>22.301516503122212</v>
      </c>
      <c r="N85" s="239">
        <v>500</v>
      </c>
      <c r="O85" s="244">
        <f t="shared" si="73"/>
        <v>22.301516503122212</v>
      </c>
      <c r="P85" s="239">
        <v>1742</v>
      </c>
      <c r="Q85" s="244">
        <f t="shared" si="74"/>
        <v>77.698483496877785</v>
      </c>
      <c r="R85" s="239">
        <v>0</v>
      </c>
      <c r="S85" s="244">
        <f t="shared" si="75"/>
        <v>0</v>
      </c>
      <c r="T85" s="239">
        <v>0</v>
      </c>
      <c r="U85" s="244">
        <v>0</v>
      </c>
      <c r="V85" s="239">
        <v>0</v>
      </c>
      <c r="W85" s="239">
        <v>0</v>
      </c>
      <c r="X85" s="340">
        <v>0</v>
      </c>
      <c r="Y85" s="340">
        <v>0</v>
      </c>
      <c r="Z85" s="340">
        <v>0</v>
      </c>
      <c r="AA85" s="340">
        <v>0</v>
      </c>
      <c r="AB85" s="340">
        <v>2</v>
      </c>
      <c r="AC85" s="340">
        <v>80</v>
      </c>
    </row>
    <row r="86" spans="1:29" s="355" customFormat="1" ht="14.15" customHeight="1" thickBot="1">
      <c r="A86" s="920"/>
      <c r="B86" s="342">
        <v>23</v>
      </c>
      <c r="C86" s="247" t="s">
        <v>773</v>
      </c>
      <c r="D86" s="247">
        <f t="shared" si="67"/>
        <v>11000</v>
      </c>
      <c r="E86" s="247">
        <v>0</v>
      </c>
      <c r="F86" s="251">
        <f t="shared" si="68"/>
        <v>0</v>
      </c>
      <c r="G86" s="247">
        <v>11000</v>
      </c>
      <c r="H86" s="251">
        <f t="shared" si="69"/>
        <v>100</v>
      </c>
      <c r="I86" s="247">
        <v>0</v>
      </c>
      <c r="J86" s="251">
        <f t="shared" si="70"/>
        <v>0</v>
      </c>
      <c r="K86" s="247">
        <f t="shared" si="71"/>
        <v>5497</v>
      </c>
      <c r="L86" s="247">
        <v>0</v>
      </c>
      <c r="M86" s="251">
        <f t="shared" si="72"/>
        <v>0</v>
      </c>
      <c r="N86" s="247">
        <v>0</v>
      </c>
      <c r="O86" s="251">
        <f t="shared" si="73"/>
        <v>0</v>
      </c>
      <c r="P86" s="247">
        <v>5497</v>
      </c>
      <c r="Q86" s="251">
        <f t="shared" si="74"/>
        <v>100</v>
      </c>
      <c r="R86" s="247">
        <v>5497</v>
      </c>
      <c r="S86" s="251">
        <f t="shared" si="75"/>
        <v>100</v>
      </c>
      <c r="T86" s="247">
        <v>0</v>
      </c>
      <c r="U86" s="251">
        <v>0</v>
      </c>
      <c r="V86" s="247">
        <v>3</v>
      </c>
      <c r="W86" s="247">
        <v>156</v>
      </c>
      <c r="X86" s="342">
        <v>0</v>
      </c>
      <c r="Y86" s="342">
        <v>0</v>
      </c>
      <c r="Z86" s="342">
        <v>0</v>
      </c>
      <c r="AA86" s="342">
        <v>0</v>
      </c>
      <c r="AB86" s="342">
        <v>14</v>
      </c>
      <c r="AC86" s="342">
        <v>0</v>
      </c>
    </row>
    <row r="87" spans="1:29" ht="14.15" customHeight="1" thickTop="1">
      <c r="A87" s="920"/>
      <c r="B87" s="252"/>
      <c r="C87" s="385" t="s">
        <v>34</v>
      </c>
      <c r="D87" s="385">
        <f>SUM(D82:D86)</f>
        <v>76283</v>
      </c>
      <c r="E87" s="385">
        <f>SUM(E82:E86)</f>
        <v>8481</v>
      </c>
      <c r="F87" s="417">
        <f t="shared" si="68"/>
        <v>11.117811307892978</v>
      </c>
      <c r="G87" s="385">
        <f>SUM(G82:G86)</f>
        <v>67802</v>
      </c>
      <c r="H87" s="417">
        <f t="shared" si="69"/>
        <v>88.882188692107022</v>
      </c>
      <c r="I87" s="385">
        <f>SUM(I82:I86)</f>
        <v>10850</v>
      </c>
      <c r="J87" s="417">
        <f t="shared" si="70"/>
        <v>14.223352516288031</v>
      </c>
      <c r="K87" s="259">
        <f>SUM(K82:K86)</f>
        <v>41509</v>
      </c>
      <c r="L87" s="385">
        <f>SUM(L82:L86)</f>
        <v>8785</v>
      </c>
      <c r="M87" s="417">
        <f t="shared" si="72"/>
        <v>21.164084897251197</v>
      </c>
      <c r="N87" s="385">
        <f>SUM(N82:N86)</f>
        <v>8921</v>
      </c>
      <c r="O87" s="417">
        <f t="shared" si="73"/>
        <v>21.491724686212628</v>
      </c>
      <c r="P87" s="259">
        <f>SUM(P82:P86)</f>
        <v>32588</v>
      </c>
      <c r="Q87" s="417">
        <f t="shared" si="74"/>
        <v>78.508275313787365</v>
      </c>
      <c r="R87" s="385">
        <f>SUM(R82:R86)</f>
        <v>22992</v>
      </c>
      <c r="S87" s="417">
        <f t="shared" si="75"/>
        <v>55.390397263244118</v>
      </c>
      <c r="T87" s="385">
        <f>SUM(T82:T86)</f>
        <v>15</v>
      </c>
      <c r="U87" s="385">
        <f t="shared" ref="U87:AC87" si="76">SUM(U82:U86)</f>
        <v>18.899999999999999</v>
      </c>
      <c r="V87" s="385">
        <f t="shared" si="76"/>
        <v>7</v>
      </c>
      <c r="W87" s="385">
        <f t="shared" si="76"/>
        <v>364</v>
      </c>
      <c r="X87" s="385">
        <f t="shared" si="76"/>
        <v>0</v>
      </c>
      <c r="Y87" s="385">
        <f t="shared" si="76"/>
        <v>0</v>
      </c>
      <c r="Z87" s="385">
        <f t="shared" si="76"/>
        <v>0</v>
      </c>
      <c r="AA87" s="385">
        <f t="shared" si="76"/>
        <v>0</v>
      </c>
      <c r="AB87" s="385">
        <f t="shared" si="76"/>
        <v>16</v>
      </c>
      <c r="AC87" s="385">
        <f t="shared" si="76"/>
        <v>80</v>
      </c>
    </row>
    <row r="88" spans="1:29" ht="14.15" customHeight="1">
      <c r="A88" s="920"/>
      <c r="B88" s="263"/>
      <c r="C88" s="357"/>
      <c r="D88" s="357"/>
      <c r="E88" s="357"/>
      <c r="F88" s="418"/>
      <c r="G88" s="357"/>
      <c r="H88" s="418"/>
      <c r="I88" s="357"/>
      <c r="J88" s="418"/>
      <c r="K88" s="270"/>
      <c r="L88" s="357"/>
      <c r="M88" s="418"/>
      <c r="N88" s="357"/>
      <c r="O88" s="418"/>
      <c r="P88" s="270"/>
      <c r="Q88" s="418"/>
      <c r="R88" s="357"/>
      <c r="S88" s="418"/>
      <c r="T88" s="270"/>
      <c r="U88" s="270"/>
      <c r="V88" s="270"/>
      <c r="W88" s="270"/>
      <c r="X88" s="270"/>
      <c r="Y88" s="270"/>
      <c r="Z88" s="270"/>
      <c r="AA88" s="270"/>
      <c r="AB88" s="270"/>
      <c r="AC88" s="270"/>
    </row>
    <row r="89" spans="1:29" ht="14.15" customHeight="1">
      <c r="A89" s="420" t="s">
        <v>774</v>
      </c>
      <c r="B89" s="421"/>
      <c r="C89" s="422" t="s">
        <v>34</v>
      </c>
      <c r="D89" s="422">
        <f>D15+D20+D33+D43+D51+D54+D63+D69+D80+D87</f>
        <v>1035860</v>
      </c>
      <c r="E89" s="422">
        <f>E15+E20+E33+E43+E51+E54+E63+E69+E80+E87</f>
        <v>329257</v>
      </c>
      <c r="F89" s="423">
        <f>E89/$D89*100</f>
        <v>31.785859092927616</v>
      </c>
      <c r="G89" s="422">
        <f>G15+G20+G33+G43+G51+G54+G63+G69+G80+G87</f>
        <v>706603</v>
      </c>
      <c r="H89" s="423">
        <f>G89/$D89*100</f>
        <v>68.214140907072391</v>
      </c>
      <c r="I89" s="422">
        <f>I15+I20+I33+I43+I51+I54+I63+I69+I80+I87</f>
        <v>358874</v>
      </c>
      <c r="J89" s="423">
        <f>I89/$D89*100</f>
        <v>34.645029251057089</v>
      </c>
      <c r="K89" s="424">
        <f>K15+K20+K33+K43+K51+K54+K63+K69+K80+K87</f>
        <v>837204</v>
      </c>
      <c r="L89" s="422">
        <f>L15+L20+L33+L43+L51+L54+L63+L69+L80+L87</f>
        <v>296450</v>
      </c>
      <c r="M89" s="423">
        <f>L89/$K89*100</f>
        <v>35.409529815911057</v>
      </c>
      <c r="N89" s="422">
        <f>N15+N20+N33+N43+N51+N54+N63+N69+N80+N87</f>
        <v>335300</v>
      </c>
      <c r="O89" s="423">
        <f>N89/$K89*100</f>
        <v>40.04997587206941</v>
      </c>
      <c r="P89" s="424">
        <f>P15+P20+P33+P43+P51+P54+P63+P69+P80+P87</f>
        <v>501904</v>
      </c>
      <c r="Q89" s="423">
        <f>P89/$K89*100</f>
        <v>59.95002412793059</v>
      </c>
      <c r="R89" s="422">
        <f>R15+R20+R33+R43+R51+R54+R63+R69+R80+R87</f>
        <v>318891</v>
      </c>
      <c r="S89" s="423">
        <f>R89/$K89*100</f>
        <v>38.089999569997282</v>
      </c>
      <c r="T89" s="425">
        <f t="shared" ref="T89:AC89" si="77">+T15+T20+T33+T43+T51+T54+T63+T69+T80+T87</f>
        <v>246</v>
      </c>
      <c r="U89" s="426">
        <f t="shared" si="77"/>
        <v>470.90000000000003</v>
      </c>
      <c r="V89" s="425">
        <f t="shared" si="77"/>
        <v>177</v>
      </c>
      <c r="W89" s="425">
        <f t="shared" si="77"/>
        <v>15204</v>
      </c>
      <c r="X89" s="425">
        <f t="shared" si="77"/>
        <v>2</v>
      </c>
      <c r="Y89" s="425">
        <f t="shared" si="77"/>
        <v>560</v>
      </c>
      <c r="Z89" s="425">
        <f t="shared" si="77"/>
        <v>4</v>
      </c>
      <c r="AA89" s="425">
        <f t="shared" si="77"/>
        <v>700</v>
      </c>
      <c r="AB89" s="425">
        <f t="shared" si="77"/>
        <v>671</v>
      </c>
      <c r="AC89" s="425">
        <f t="shared" si="77"/>
        <v>1900</v>
      </c>
    </row>
    <row r="90" spans="1:29" ht="14.15" customHeight="1"/>
    <row r="91" spans="1:29" ht="14.15" customHeight="1"/>
    <row r="92" spans="1:29" ht="14.15" customHeight="1"/>
    <row r="93" spans="1:29" ht="14.15" customHeight="1"/>
    <row r="94" spans="1:29" ht="14.15" customHeight="1"/>
    <row r="95" spans="1:29" ht="14.15" customHeight="1"/>
    <row r="96" spans="1:29" ht="14.15" customHeight="1"/>
    <row r="97" ht="14.15" customHeight="1"/>
    <row r="98" ht="14.15" customHeight="1"/>
    <row r="99" ht="14.15" customHeight="1"/>
    <row r="100" ht="14.15" customHeight="1"/>
    <row r="101" ht="14.15" customHeight="1"/>
    <row r="102" ht="14.15" customHeight="1"/>
    <row r="103" ht="14.15" customHeight="1"/>
    <row r="104" ht="14.15" customHeight="1"/>
    <row r="105" ht="14.15" customHeight="1"/>
    <row r="106" ht="14.15" customHeight="1"/>
    <row r="107" ht="14.15" customHeight="1"/>
    <row r="108" ht="14.15" customHeight="1"/>
    <row r="109" ht="14.15" customHeight="1"/>
    <row r="110" ht="14.15" customHeight="1"/>
    <row r="111" ht="14.15" customHeight="1"/>
    <row r="112" ht="14.15" customHeight="1"/>
    <row r="113" ht="14.15" customHeight="1"/>
    <row r="114" ht="14.15" customHeight="1"/>
    <row r="115" ht="14.15" customHeight="1"/>
    <row r="116" ht="14.15" customHeight="1"/>
    <row r="117" ht="14.15" customHeight="1"/>
    <row r="118" ht="14.15" customHeight="1"/>
    <row r="119" ht="14.15" customHeight="1"/>
    <row r="120" ht="14.15" customHeight="1"/>
    <row r="121" ht="14.15" customHeight="1"/>
    <row r="122" ht="14.15" customHeight="1"/>
    <row r="123" ht="14.15" customHeight="1"/>
    <row r="124" ht="14.15" customHeight="1"/>
    <row r="125" ht="14.15" customHeight="1"/>
    <row r="126" ht="14.15" customHeight="1"/>
    <row r="127" ht="14.15" customHeight="1"/>
    <row r="128" ht="14.15" customHeight="1"/>
    <row r="129" ht="14.15" customHeight="1"/>
    <row r="130" ht="14.15" customHeight="1"/>
    <row r="131" ht="14.15" customHeight="1"/>
    <row r="132" ht="14.15" customHeight="1"/>
    <row r="133" ht="14.15" customHeight="1"/>
    <row r="134" ht="14.15" customHeight="1"/>
    <row r="135" ht="14.15" customHeight="1"/>
    <row r="136" ht="14.15" customHeight="1"/>
    <row r="137" ht="14.15" customHeight="1"/>
    <row r="138" ht="14.15" customHeight="1"/>
    <row r="139" ht="14.15" customHeight="1"/>
    <row r="140" ht="14.15" customHeight="1"/>
    <row r="141" ht="14.15" customHeight="1"/>
    <row r="142" ht="14.15" customHeight="1"/>
    <row r="143" ht="14.15" customHeight="1"/>
    <row r="144" ht="14.15" customHeight="1"/>
    <row r="145" ht="14.15" customHeight="1"/>
    <row r="146" ht="14.15" customHeight="1"/>
    <row r="147" ht="14.15" customHeight="1"/>
    <row r="148" ht="14.15" customHeight="1"/>
    <row r="149" ht="14.15" customHeight="1"/>
    <row r="150" ht="14.15" customHeight="1"/>
    <row r="151" ht="14.15" customHeight="1"/>
    <row r="152" ht="14.15" customHeight="1"/>
    <row r="153" ht="14.15" customHeight="1"/>
    <row r="154" ht="14.15" customHeight="1"/>
    <row r="155" ht="14.15" customHeight="1"/>
    <row r="156" ht="14.15" customHeight="1"/>
    <row r="157" ht="14.15" customHeight="1"/>
    <row r="158" ht="14.15" customHeight="1"/>
    <row r="159" ht="14.15" customHeight="1"/>
    <row r="16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sheetData>
  <mergeCells count="51">
    <mergeCell ref="A65:A70"/>
    <mergeCell ref="A71:A81"/>
    <mergeCell ref="A82:A88"/>
    <mergeCell ref="A17:A21"/>
    <mergeCell ref="A22:A34"/>
    <mergeCell ref="A35:A44"/>
    <mergeCell ref="A45:A52"/>
    <mergeCell ref="A53:A55"/>
    <mergeCell ref="A56:A64"/>
    <mergeCell ref="Q6:Q7"/>
    <mergeCell ref="R6:R7"/>
    <mergeCell ref="S6:S7"/>
    <mergeCell ref="Z6:AA6"/>
    <mergeCell ref="AB6:AC6"/>
    <mergeCell ref="A8:A16"/>
    <mergeCell ref="J6:J7"/>
    <mergeCell ref="L6:L7"/>
    <mergeCell ref="M6:M7"/>
    <mergeCell ref="N6:N7"/>
    <mergeCell ref="O6:O7"/>
    <mergeCell ref="P6:P7"/>
    <mergeCell ref="X4:AC4"/>
    <mergeCell ref="I5:J5"/>
    <mergeCell ref="R5:S5"/>
    <mergeCell ref="T5:T7"/>
    <mergeCell ref="U5:U7"/>
    <mergeCell ref="V5:V7"/>
    <mergeCell ref="W5:W7"/>
    <mergeCell ref="X5:Y6"/>
    <mergeCell ref="Z5:AC5"/>
    <mergeCell ref="I6:I7"/>
    <mergeCell ref="T3:AC3"/>
    <mergeCell ref="D4:D7"/>
    <mergeCell ref="E4:F5"/>
    <mergeCell ref="G4:H5"/>
    <mergeCell ref="K4:K7"/>
    <mergeCell ref="L4:M5"/>
    <mergeCell ref="N4:O5"/>
    <mergeCell ref="P4:Q5"/>
    <mergeCell ref="T4:U4"/>
    <mergeCell ref="V4:W4"/>
    <mergeCell ref="A3:A7"/>
    <mergeCell ref="B3:B7"/>
    <mergeCell ref="C3:C7"/>
    <mergeCell ref="D3:J3"/>
    <mergeCell ref="K3:O3"/>
    <mergeCell ref="P3:S3"/>
    <mergeCell ref="E6:E7"/>
    <mergeCell ref="F6:F7"/>
    <mergeCell ref="G6:G7"/>
    <mergeCell ref="H6:H7"/>
  </mergeCells>
  <phoneticPr fontId="6"/>
  <pageMargins left="0.98425196850393704" right="0.19685039370078741" top="0.59055118110236227" bottom="0.78740157480314965" header="0.51181102362204722" footer="0.51181102362204722"/>
  <pageSetup paperSize="9" scale="95" fitToWidth="0" fitToHeight="2" pageOrder="overThenDown" orientation="portrait" r:id="rId1"/>
  <headerFooter alignWithMargins="0"/>
  <rowBreaks count="1" manualBreakCount="1">
    <brk id="55" max="28" man="1"/>
  </rowBreaks>
  <colBreaks count="1" manualBreakCount="1">
    <brk id="15" max="89"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A8BFEB-960D-4E8B-8BFC-3AF332EF975E}">
  <dimension ref="A1:BY83"/>
  <sheetViews>
    <sheetView view="pageBreakPreview" zoomScale="98" zoomScaleNormal="100" zoomScaleSheetLayoutView="98" workbookViewId="0">
      <pane xSplit="3" ySplit="5" topLeftCell="D6" activePane="bottomRight" state="frozen"/>
      <selection pane="topRight" activeCell="D1" sqref="D1"/>
      <selection pane="bottomLeft" activeCell="A6" sqref="A6"/>
      <selection pane="bottomRight"/>
    </sheetView>
  </sheetViews>
  <sheetFormatPr defaultColWidth="9" defaultRowHeight="9.5"/>
  <cols>
    <col min="1" max="2" width="2.36328125" style="182" customWidth="1"/>
    <col min="3" max="3" width="34.453125" style="183" customWidth="1"/>
    <col min="4" max="20" width="8.6328125" style="183" customWidth="1"/>
    <col min="21" max="22" width="2.36328125" style="182" customWidth="1"/>
    <col min="23" max="23" width="34.453125" style="183" customWidth="1"/>
    <col min="24" max="40" width="8.6328125" style="183" customWidth="1"/>
    <col min="41" max="42" width="2.36328125" style="182" customWidth="1"/>
    <col min="43" max="43" width="34.453125" style="183" customWidth="1"/>
    <col min="44" max="60" width="8.6328125" style="183" customWidth="1"/>
    <col min="61" max="62" width="2.36328125" style="182" customWidth="1"/>
    <col min="63" max="63" width="34.453125" style="183" customWidth="1"/>
    <col min="64" max="73" width="8.6328125" style="183" customWidth="1"/>
    <col min="74" max="16384" width="9" style="183"/>
  </cols>
  <sheetData>
    <row r="1" spans="1:77" ht="17.25" customHeight="1">
      <c r="A1" s="181" t="s">
        <v>942</v>
      </c>
      <c r="D1" s="2120"/>
      <c r="E1" s="427"/>
      <c r="F1" s="427"/>
      <c r="G1" s="427"/>
      <c r="H1" s="427"/>
      <c r="I1" s="427"/>
      <c r="J1" s="427"/>
      <c r="K1" s="427"/>
      <c r="L1" s="427"/>
      <c r="M1" s="427"/>
      <c r="N1" s="427"/>
      <c r="O1" s="427"/>
      <c r="P1" s="427"/>
      <c r="Q1" s="427"/>
      <c r="R1" s="427"/>
      <c r="S1" s="427"/>
      <c r="T1" s="427"/>
      <c r="U1" s="181" t="s">
        <v>942</v>
      </c>
      <c r="X1" s="427"/>
      <c r="Y1" s="427"/>
      <c r="Z1" s="427"/>
      <c r="AA1" s="427"/>
      <c r="AB1" s="427"/>
      <c r="AC1" s="427"/>
      <c r="AD1" s="427"/>
      <c r="AE1" s="427"/>
      <c r="AF1" s="427"/>
      <c r="AG1" s="427"/>
      <c r="AH1" s="427"/>
      <c r="AI1" s="427"/>
      <c r="AJ1" s="427"/>
      <c r="AK1" s="427"/>
      <c r="AL1" s="427"/>
      <c r="AM1" s="427"/>
      <c r="AN1" s="427"/>
      <c r="AO1" s="181" t="s">
        <v>942</v>
      </c>
      <c r="AR1" s="427"/>
      <c r="AS1" s="427"/>
      <c r="AT1" s="427"/>
      <c r="AU1" s="427"/>
      <c r="AV1" s="427"/>
      <c r="AW1" s="427"/>
      <c r="AX1" s="427"/>
      <c r="AY1" s="427"/>
      <c r="AZ1" s="427"/>
      <c r="BA1" s="427"/>
      <c r="BB1" s="427"/>
      <c r="BC1" s="427"/>
      <c r="BD1" s="427"/>
      <c r="BE1" s="427"/>
      <c r="BF1" s="427"/>
      <c r="BG1" s="427"/>
      <c r="BH1" s="427"/>
      <c r="BI1" s="181" t="s">
        <v>942</v>
      </c>
      <c r="BL1" s="427"/>
      <c r="BM1" s="427"/>
      <c r="BN1" s="427"/>
      <c r="BO1" s="427"/>
      <c r="BP1" s="427"/>
      <c r="BQ1" s="427"/>
      <c r="BR1" s="427"/>
      <c r="BS1" s="427"/>
      <c r="BT1" s="427"/>
      <c r="BU1" s="427"/>
    </row>
    <row r="2" spans="1:77" s="184" customFormat="1" ht="11.25" customHeight="1">
      <c r="C2" s="185"/>
      <c r="D2" s="366"/>
      <c r="E2" s="366"/>
      <c r="F2" s="428"/>
      <c r="G2" s="428"/>
      <c r="H2" s="428"/>
      <c r="I2" s="428"/>
      <c r="J2" s="428"/>
      <c r="K2" s="2016"/>
      <c r="L2" s="428"/>
      <c r="M2" s="428"/>
      <c r="N2" s="428"/>
      <c r="O2" s="428"/>
      <c r="Q2" s="429"/>
      <c r="R2" s="430"/>
      <c r="T2" s="792" t="s">
        <v>943</v>
      </c>
      <c r="W2" s="185"/>
      <c r="X2" s="428"/>
      <c r="Y2" s="428"/>
      <c r="Z2" s="431"/>
      <c r="AA2" s="428"/>
      <c r="AB2" s="428"/>
      <c r="AC2" s="428"/>
      <c r="AD2" s="428"/>
      <c r="AE2" s="428"/>
      <c r="AF2" s="428"/>
      <c r="AG2" s="428"/>
      <c r="AH2" s="428"/>
      <c r="AI2" s="428"/>
      <c r="AJ2" s="430"/>
      <c r="AL2" s="430"/>
      <c r="AN2" s="792" t="s">
        <v>943</v>
      </c>
      <c r="AQ2" s="185"/>
      <c r="AR2" s="432"/>
      <c r="AS2" s="428"/>
      <c r="AT2" s="428"/>
      <c r="AU2" s="431"/>
      <c r="AV2" s="431"/>
      <c r="AW2" s="428"/>
      <c r="AX2" s="428"/>
      <c r="AY2" s="428"/>
      <c r="AZ2" s="428"/>
      <c r="BA2" s="428"/>
      <c r="BB2" s="428"/>
      <c r="BC2" s="428"/>
      <c r="BD2" s="433"/>
      <c r="BH2" s="185" t="s">
        <v>943</v>
      </c>
      <c r="BK2" s="185"/>
      <c r="BL2" s="428"/>
      <c r="BM2" s="428"/>
      <c r="BN2" s="428"/>
      <c r="BO2" s="428"/>
      <c r="BP2" s="428"/>
      <c r="BQ2" s="428"/>
      <c r="BR2" s="428"/>
      <c r="BS2" s="428"/>
      <c r="BT2" s="428"/>
      <c r="BV2" s="185" t="s">
        <v>943</v>
      </c>
    </row>
    <row r="3" spans="1:77" s="434" customFormat="1" ht="11.25" customHeight="1">
      <c r="A3" s="930" t="s">
        <v>495</v>
      </c>
      <c r="B3" s="930"/>
      <c r="C3" s="930"/>
      <c r="D3" s="945" t="s">
        <v>507</v>
      </c>
      <c r="E3" s="945"/>
      <c r="F3" s="945"/>
      <c r="G3" s="945"/>
      <c r="H3" s="945"/>
      <c r="I3" s="945"/>
      <c r="J3" s="801" t="s">
        <v>507</v>
      </c>
      <c r="K3" s="942" t="s">
        <v>944</v>
      </c>
      <c r="L3" s="943"/>
      <c r="M3" s="943"/>
      <c r="N3" s="942" t="s">
        <v>711</v>
      </c>
      <c r="O3" s="943"/>
      <c r="P3" s="943"/>
      <c r="Q3" s="943"/>
      <c r="R3" s="943"/>
      <c r="S3" s="943"/>
      <c r="T3" s="944"/>
      <c r="U3" s="930" t="s">
        <v>495</v>
      </c>
      <c r="V3" s="930"/>
      <c r="W3" s="930"/>
      <c r="X3" s="942" t="s">
        <v>711</v>
      </c>
      <c r="Y3" s="943"/>
      <c r="Z3" s="943"/>
      <c r="AA3" s="944"/>
      <c r="AB3" s="942" t="s">
        <v>512</v>
      </c>
      <c r="AC3" s="943"/>
      <c r="AD3" s="943" t="s">
        <v>945</v>
      </c>
      <c r="AE3" s="943"/>
      <c r="AF3" s="943"/>
      <c r="AG3" s="943"/>
      <c r="AH3" s="943"/>
      <c r="AI3" s="944"/>
      <c r="AJ3" s="942" t="s">
        <v>737</v>
      </c>
      <c r="AK3" s="943"/>
      <c r="AL3" s="943"/>
      <c r="AM3" s="943"/>
      <c r="AN3" s="944"/>
      <c r="AO3" s="930" t="s">
        <v>495</v>
      </c>
      <c r="AP3" s="930"/>
      <c r="AQ3" s="930"/>
      <c r="AR3" s="801" t="s">
        <v>946</v>
      </c>
      <c r="AS3" s="801" t="s">
        <v>745</v>
      </c>
      <c r="AT3" s="946" t="s">
        <v>516</v>
      </c>
      <c r="AU3" s="946"/>
      <c r="AV3" s="946"/>
      <c r="AW3" s="946"/>
      <c r="AX3" s="946" t="s">
        <v>516</v>
      </c>
      <c r="AY3" s="946"/>
      <c r="AZ3" s="946"/>
      <c r="BA3" s="942" t="s">
        <v>947</v>
      </c>
      <c r="BB3" s="943"/>
      <c r="BC3" s="943"/>
      <c r="BD3" s="944"/>
      <c r="BE3" s="942" t="s">
        <v>948</v>
      </c>
      <c r="BF3" s="943"/>
      <c r="BG3" s="943"/>
      <c r="BH3" s="944"/>
      <c r="BI3" s="930" t="s">
        <v>495</v>
      </c>
      <c r="BJ3" s="930"/>
      <c r="BK3" s="930"/>
      <c r="BL3" s="942" t="s">
        <v>255</v>
      </c>
      <c r="BM3" s="943"/>
      <c r="BN3" s="943"/>
      <c r="BO3" s="943"/>
      <c r="BP3" s="944"/>
      <c r="BQ3" s="942" t="s">
        <v>768</v>
      </c>
      <c r="BR3" s="943"/>
      <c r="BS3" s="943"/>
      <c r="BT3" s="943"/>
      <c r="BU3" s="944"/>
      <c r="BV3" s="879" t="s">
        <v>34</v>
      </c>
    </row>
    <row r="4" spans="1:77" s="434" customFormat="1" ht="11.25" customHeight="1">
      <c r="A4" s="930" t="s">
        <v>585</v>
      </c>
      <c r="B4" s="930"/>
      <c r="C4" s="930"/>
      <c r="D4" s="803">
        <v>6</v>
      </c>
      <c r="E4" s="803">
        <v>42</v>
      </c>
      <c r="F4" s="803">
        <v>13</v>
      </c>
      <c r="G4" s="803">
        <v>90</v>
      </c>
      <c r="H4" s="803">
        <v>50</v>
      </c>
      <c r="I4" s="803">
        <v>37</v>
      </c>
      <c r="J4" s="803">
        <v>86</v>
      </c>
      <c r="K4" s="803">
        <v>3</v>
      </c>
      <c r="L4" s="803">
        <v>53</v>
      </c>
      <c r="M4" s="803">
        <v>92</v>
      </c>
      <c r="N4" s="801">
        <v>14</v>
      </c>
      <c r="O4" s="803">
        <v>5</v>
      </c>
      <c r="P4" s="803">
        <v>45</v>
      </c>
      <c r="Q4" s="803">
        <v>17</v>
      </c>
      <c r="R4" s="803">
        <v>58</v>
      </c>
      <c r="S4" s="803">
        <v>56</v>
      </c>
      <c r="T4" s="803">
        <v>71</v>
      </c>
      <c r="U4" s="930" t="s">
        <v>585</v>
      </c>
      <c r="V4" s="930"/>
      <c r="W4" s="930"/>
      <c r="X4" s="803">
        <v>78</v>
      </c>
      <c r="Y4" s="803">
        <v>79</v>
      </c>
      <c r="Z4" s="803">
        <v>80</v>
      </c>
      <c r="AA4" s="800">
        <v>85</v>
      </c>
      <c r="AB4" s="803">
        <v>35</v>
      </c>
      <c r="AC4" s="803">
        <v>29</v>
      </c>
      <c r="AD4" s="803">
        <v>25</v>
      </c>
      <c r="AE4" s="803">
        <v>59</v>
      </c>
      <c r="AF4" s="803">
        <v>66</v>
      </c>
      <c r="AG4" s="803">
        <v>64</v>
      </c>
      <c r="AH4" s="803">
        <v>88</v>
      </c>
      <c r="AI4" s="803">
        <v>52</v>
      </c>
      <c r="AJ4" s="803">
        <v>70</v>
      </c>
      <c r="AK4" s="803">
        <v>83</v>
      </c>
      <c r="AL4" s="803">
        <v>76</v>
      </c>
      <c r="AM4" s="803">
        <v>93</v>
      </c>
      <c r="AN4" s="803">
        <v>94</v>
      </c>
      <c r="AO4" s="930" t="s">
        <v>585</v>
      </c>
      <c r="AP4" s="930"/>
      <c r="AQ4" s="930"/>
      <c r="AR4" s="803">
        <v>91</v>
      </c>
      <c r="AS4" s="803">
        <v>20</v>
      </c>
      <c r="AT4" s="803">
        <v>4</v>
      </c>
      <c r="AU4" s="803">
        <v>19</v>
      </c>
      <c r="AV4" s="803">
        <v>41</v>
      </c>
      <c r="AW4" s="803">
        <v>47</v>
      </c>
      <c r="AX4" s="803">
        <v>46</v>
      </c>
      <c r="AY4" s="803">
        <v>89</v>
      </c>
      <c r="AZ4" s="803">
        <v>32</v>
      </c>
      <c r="BA4" s="801">
        <v>9</v>
      </c>
      <c r="BB4" s="803">
        <v>22</v>
      </c>
      <c r="BC4" s="803">
        <v>74</v>
      </c>
      <c r="BD4" s="803">
        <v>63</v>
      </c>
      <c r="BE4" s="801">
        <v>57</v>
      </c>
      <c r="BF4" s="803">
        <v>1</v>
      </c>
      <c r="BG4" s="803">
        <v>10</v>
      </c>
      <c r="BH4" s="803">
        <v>26</v>
      </c>
      <c r="BI4" s="930" t="s">
        <v>585</v>
      </c>
      <c r="BJ4" s="930"/>
      <c r="BK4" s="930"/>
      <c r="BL4" s="803">
        <v>15</v>
      </c>
      <c r="BM4" s="803">
        <v>87</v>
      </c>
      <c r="BN4" s="803">
        <v>81</v>
      </c>
      <c r="BO4" s="803">
        <v>54</v>
      </c>
      <c r="BP4" s="803">
        <v>75</v>
      </c>
      <c r="BQ4" s="803">
        <v>2</v>
      </c>
      <c r="BR4" s="803">
        <v>27</v>
      </c>
      <c r="BS4" s="803">
        <v>21</v>
      </c>
      <c r="BT4" s="803">
        <v>40</v>
      </c>
      <c r="BU4" s="803">
        <v>23</v>
      </c>
      <c r="BV4" s="879"/>
    </row>
    <row r="5" spans="1:77" s="434" customFormat="1" ht="30" customHeight="1">
      <c r="A5" s="939" t="s">
        <v>497</v>
      </c>
      <c r="B5" s="940"/>
      <c r="C5" s="941"/>
      <c r="D5" s="803" t="s">
        <v>949</v>
      </c>
      <c r="E5" s="803" t="s">
        <v>950</v>
      </c>
      <c r="F5" s="803" t="s">
        <v>951</v>
      </c>
      <c r="G5" s="803" t="s">
        <v>694</v>
      </c>
      <c r="H5" s="803" t="s">
        <v>952</v>
      </c>
      <c r="I5" s="803" t="s">
        <v>953</v>
      </c>
      <c r="J5" s="803" t="s">
        <v>954</v>
      </c>
      <c r="K5" s="803" t="s">
        <v>955</v>
      </c>
      <c r="L5" s="803" t="s">
        <v>956</v>
      </c>
      <c r="M5" s="803" t="s">
        <v>957</v>
      </c>
      <c r="N5" s="803" t="s">
        <v>958</v>
      </c>
      <c r="O5" s="803" t="s">
        <v>959</v>
      </c>
      <c r="P5" s="803" t="s">
        <v>960</v>
      </c>
      <c r="Q5" s="803" t="s">
        <v>961</v>
      </c>
      <c r="R5" s="803" t="s">
        <v>962</v>
      </c>
      <c r="S5" s="803" t="s">
        <v>963</v>
      </c>
      <c r="T5" s="803" t="s">
        <v>964</v>
      </c>
      <c r="U5" s="939" t="s">
        <v>497</v>
      </c>
      <c r="V5" s="940"/>
      <c r="W5" s="941"/>
      <c r="X5" s="803" t="s">
        <v>965</v>
      </c>
      <c r="Y5" s="803" t="s">
        <v>966</v>
      </c>
      <c r="Z5" s="803" t="s">
        <v>967</v>
      </c>
      <c r="AA5" s="800" t="s">
        <v>968</v>
      </c>
      <c r="AB5" s="803" t="s">
        <v>969</v>
      </c>
      <c r="AC5" s="803" t="s">
        <v>970</v>
      </c>
      <c r="AD5" s="803" t="s">
        <v>971</v>
      </c>
      <c r="AE5" s="803" t="s">
        <v>972</v>
      </c>
      <c r="AF5" s="803" t="s">
        <v>973</v>
      </c>
      <c r="AG5" s="803" t="s">
        <v>974</v>
      </c>
      <c r="AH5" s="803" t="s">
        <v>975</v>
      </c>
      <c r="AI5" s="803" t="s">
        <v>976</v>
      </c>
      <c r="AJ5" s="803" t="s">
        <v>977</v>
      </c>
      <c r="AK5" s="803" t="s">
        <v>978</v>
      </c>
      <c r="AL5" s="803" t="s">
        <v>979</v>
      </c>
      <c r="AM5" s="803" t="s">
        <v>742</v>
      </c>
      <c r="AN5" s="803" t="s">
        <v>743</v>
      </c>
      <c r="AO5" s="939" t="s">
        <v>497</v>
      </c>
      <c r="AP5" s="940"/>
      <c r="AQ5" s="941"/>
      <c r="AR5" s="803" t="s">
        <v>744</v>
      </c>
      <c r="AS5" s="803" t="s">
        <v>980</v>
      </c>
      <c r="AT5" s="803" t="s">
        <v>981</v>
      </c>
      <c r="AU5" s="803" t="s">
        <v>982</v>
      </c>
      <c r="AV5" s="803" t="s">
        <v>983</v>
      </c>
      <c r="AW5" s="803" t="s">
        <v>984</v>
      </c>
      <c r="AX5" s="803" t="s">
        <v>985</v>
      </c>
      <c r="AY5" s="803" t="s">
        <v>806</v>
      </c>
      <c r="AZ5" s="803" t="s">
        <v>986</v>
      </c>
      <c r="BA5" s="801" t="s">
        <v>987</v>
      </c>
      <c r="BB5" s="803" t="s">
        <v>988</v>
      </c>
      <c r="BC5" s="803" t="s">
        <v>989</v>
      </c>
      <c r="BD5" s="803" t="s">
        <v>990</v>
      </c>
      <c r="BE5" s="801" t="s">
        <v>991</v>
      </c>
      <c r="BF5" s="803" t="s">
        <v>992</v>
      </c>
      <c r="BG5" s="803" t="s">
        <v>993</v>
      </c>
      <c r="BH5" s="803" t="s">
        <v>994</v>
      </c>
      <c r="BI5" s="939" t="s">
        <v>497</v>
      </c>
      <c r="BJ5" s="940"/>
      <c r="BK5" s="941"/>
      <c r="BL5" s="803" t="s">
        <v>995</v>
      </c>
      <c r="BM5" s="803" t="s">
        <v>996</v>
      </c>
      <c r="BN5" s="803" t="s">
        <v>997</v>
      </c>
      <c r="BO5" s="803" t="s">
        <v>998</v>
      </c>
      <c r="BP5" s="803" t="s">
        <v>999</v>
      </c>
      <c r="BQ5" s="803" t="s">
        <v>1000</v>
      </c>
      <c r="BR5" s="803" t="s">
        <v>1001</v>
      </c>
      <c r="BS5" s="803" t="s">
        <v>1002</v>
      </c>
      <c r="BT5" s="803" t="s">
        <v>1003</v>
      </c>
      <c r="BU5" s="803" t="s">
        <v>1004</v>
      </c>
      <c r="BV5" s="879"/>
    </row>
    <row r="6" spans="1:77" s="435" customFormat="1" ht="11.25" customHeight="1">
      <c r="A6" s="933" t="s">
        <v>588</v>
      </c>
      <c r="B6" s="937" t="s">
        <v>589</v>
      </c>
      <c r="C6" s="938"/>
      <c r="D6" s="203">
        <v>940345</v>
      </c>
      <c r="E6" s="203">
        <v>84421</v>
      </c>
      <c r="F6" s="203">
        <v>657633</v>
      </c>
      <c r="G6" s="203">
        <v>188304</v>
      </c>
      <c r="H6" s="203">
        <v>269898</v>
      </c>
      <c r="I6" s="203">
        <v>3160964</v>
      </c>
      <c r="J6" s="203">
        <v>42893</v>
      </c>
      <c r="K6" s="203">
        <v>2682696</v>
      </c>
      <c r="L6" s="203">
        <v>650383</v>
      </c>
      <c r="M6" s="203">
        <v>276934</v>
      </c>
      <c r="N6" s="203">
        <v>1027146</v>
      </c>
      <c r="O6" s="203">
        <v>888886</v>
      </c>
      <c r="P6" s="203">
        <v>1254577</v>
      </c>
      <c r="Q6" s="203">
        <v>240309</v>
      </c>
      <c r="R6" s="203">
        <v>604453</v>
      </c>
      <c r="S6" s="203">
        <v>167615</v>
      </c>
      <c r="T6" s="203">
        <v>46616</v>
      </c>
      <c r="U6" s="933" t="s">
        <v>588</v>
      </c>
      <c r="V6" s="937" t="s">
        <v>589</v>
      </c>
      <c r="W6" s="938"/>
      <c r="X6" s="203">
        <v>78852</v>
      </c>
      <c r="Y6" s="203">
        <v>63676</v>
      </c>
      <c r="Z6" s="203">
        <v>75660</v>
      </c>
      <c r="AA6" s="203">
        <v>42183</v>
      </c>
      <c r="AB6" s="203">
        <v>1718404</v>
      </c>
      <c r="AC6" s="203">
        <v>761332</v>
      </c>
      <c r="AD6" s="203">
        <v>393934</v>
      </c>
      <c r="AE6" s="203">
        <v>484139</v>
      </c>
      <c r="AF6" s="203">
        <v>213300</v>
      </c>
      <c r="AG6" s="203">
        <v>261544</v>
      </c>
      <c r="AH6" s="203">
        <v>120453</v>
      </c>
      <c r="AI6" s="203">
        <v>150063</v>
      </c>
      <c r="AJ6" s="203">
        <v>1979077</v>
      </c>
      <c r="AK6" s="203">
        <v>285653</v>
      </c>
      <c r="AL6" s="203">
        <v>218267</v>
      </c>
      <c r="AM6" s="203">
        <v>200794</v>
      </c>
      <c r="AN6" s="203">
        <v>161518</v>
      </c>
      <c r="AO6" s="933" t="s">
        <v>588</v>
      </c>
      <c r="AP6" s="937" t="s">
        <v>589</v>
      </c>
      <c r="AQ6" s="938"/>
      <c r="AR6" s="203">
        <v>143415</v>
      </c>
      <c r="AS6" s="203">
        <v>170764</v>
      </c>
      <c r="AT6" s="203">
        <v>5062640</v>
      </c>
      <c r="AU6" s="203"/>
      <c r="AV6" s="203"/>
      <c r="AW6" s="203"/>
      <c r="AX6" s="203">
        <v>1767121</v>
      </c>
      <c r="AY6" s="203">
        <v>2167699</v>
      </c>
      <c r="AZ6" s="203">
        <v>212362</v>
      </c>
      <c r="BA6" s="203">
        <v>522423</v>
      </c>
      <c r="BB6" s="203">
        <v>230016</v>
      </c>
      <c r="BC6" s="203">
        <v>181808</v>
      </c>
      <c r="BD6" s="203">
        <v>287067</v>
      </c>
      <c r="BE6" s="203">
        <v>3881139</v>
      </c>
      <c r="BF6" s="203">
        <v>6935023</v>
      </c>
      <c r="BG6" s="203">
        <v>1248206</v>
      </c>
      <c r="BH6" s="203">
        <v>187414</v>
      </c>
      <c r="BI6" s="933" t="s">
        <v>588</v>
      </c>
      <c r="BJ6" s="937" t="s">
        <v>589</v>
      </c>
      <c r="BK6" s="938"/>
      <c r="BL6" s="203">
        <v>210353</v>
      </c>
      <c r="BM6" s="203">
        <v>118793</v>
      </c>
      <c r="BN6" s="203">
        <v>188873</v>
      </c>
      <c r="BO6" s="203">
        <v>194540</v>
      </c>
      <c r="BP6" s="203">
        <v>112091</v>
      </c>
      <c r="BQ6" s="203">
        <v>1092891</v>
      </c>
      <c r="BR6" s="203">
        <v>596696</v>
      </c>
      <c r="BS6" s="203">
        <v>330971</v>
      </c>
      <c r="BT6" s="203">
        <v>94915</v>
      </c>
      <c r="BU6" s="203">
        <v>90694</v>
      </c>
      <c r="BV6" s="187">
        <f t="shared" ref="BV6:BV37" si="0">SUM(D6:BU6)</f>
        <v>46420836</v>
      </c>
    </row>
    <row r="7" spans="1:77" s="435" customFormat="1" ht="11.25" customHeight="1">
      <c r="A7" s="934"/>
      <c r="B7" s="931" t="s">
        <v>590</v>
      </c>
      <c r="C7" s="932"/>
      <c r="D7" s="191">
        <v>866959</v>
      </c>
      <c r="E7" s="191">
        <v>77820</v>
      </c>
      <c r="F7" s="191">
        <v>591220</v>
      </c>
      <c r="G7" s="191">
        <v>167786</v>
      </c>
      <c r="H7" s="191">
        <v>225949</v>
      </c>
      <c r="I7" s="191">
        <v>2797382</v>
      </c>
      <c r="J7" s="191">
        <v>42893</v>
      </c>
      <c r="K7" s="191">
        <v>2284606</v>
      </c>
      <c r="L7" s="191">
        <v>590196</v>
      </c>
      <c r="M7" s="191">
        <v>152235</v>
      </c>
      <c r="N7" s="191">
        <v>805257</v>
      </c>
      <c r="O7" s="191">
        <v>819837</v>
      </c>
      <c r="P7" s="191">
        <v>1100864</v>
      </c>
      <c r="Q7" s="191">
        <v>230488</v>
      </c>
      <c r="R7" s="191">
        <v>464795</v>
      </c>
      <c r="S7" s="191">
        <v>137739</v>
      </c>
      <c r="T7" s="191">
        <v>46616</v>
      </c>
      <c r="U7" s="934"/>
      <c r="V7" s="931" t="s">
        <v>590</v>
      </c>
      <c r="W7" s="932"/>
      <c r="X7" s="191">
        <v>78852</v>
      </c>
      <c r="Y7" s="191">
        <v>63676</v>
      </c>
      <c r="Z7" s="191">
        <v>75660</v>
      </c>
      <c r="AA7" s="191">
        <v>42183</v>
      </c>
      <c r="AB7" s="191">
        <v>1360079</v>
      </c>
      <c r="AC7" s="191">
        <v>681068</v>
      </c>
      <c r="AD7" s="191">
        <v>310661</v>
      </c>
      <c r="AE7" s="191">
        <v>399616</v>
      </c>
      <c r="AF7" s="191">
        <v>192315</v>
      </c>
      <c r="AG7" s="191">
        <v>230296</v>
      </c>
      <c r="AH7" s="191">
        <v>93648</v>
      </c>
      <c r="AI7" s="191">
        <v>139347</v>
      </c>
      <c r="AJ7" s="191">
        <v>1587687</v>
      </c>
      <c r="AK7" s="191">
        <v>245748</v>
      </c>
      <c r="AL7" s="191">
        <v>184981</v>
      </c>
      <c r="AM7" s="191">
        <v>131892</v>
      </c>
      <c r="AN7" s="191">
        <v>110786</v>
      </c>
      <c r="AO7" s="934"/>
      <c r="AP7" s="931" t="s">
        <v>590</v>
      </c>
      <c r="AQ7" s="932"/>
      <c r="AR7" s="191">
        <v>102992</v>
      </c>
      <c r="AS7" s="191">
        <v>136170</v>
      </c>
      <c r="AT7" s="191">
        <v>4450328</v>
      </c>
      <c r="AU7" s="191"/>
      <c r="AV7" s="191"/>
      <c r="AW7" s="191"/>
      <c r="AX7" s="191">
        <v>1526070</v>
      </c>
      <c r="AY7" s="191">
        <v>1765493</v>
      </c>
      <c r="AZ7" s="191">
        <v>180806</v>
      </c>
      <c r="BA7" s="191">
        <v>422886</v>
      </c>
      <c r="BB7" s="191">
        <v>201381</v>
      </c>
      <c r="BC7" s="191">
        <v>159400</v>
      </c>
      <c r="BD7" s="191">
        <v>256312</v>
      </c>
      <c r="BE7" s="191">
        <v>3397107</v>
      </c>
      <c r="BF7" s="191">
        <v>6058532</v>
      </c>
      <c r="BG7" s="191">
        <v>1036947</v>
      </c>
      <c r="BH7" s="191">
        <v>116845</v>
      </c>
      <c r="BI7" s="934"/>
      <c r="BJ7" s="931" t="s">
        <v>590</v>
      </c>
      <c r="BK7" s="932"/>
      <c r="BL7" s="191">
        <v>192156</v>
      </c>
      <c r="BM7" s="191">
        <v>101507</v>
      </c>
      <c r="BN7" s="191">
        <v>162327</v>
      </c>
      <c r="BO7" s="191">
        <v>150229</v>
      </c>
      <c r="BP7" s="191">
        <v>96181</v>
      </c>
      <c r="BQ7" s="191">
        <v>971231</v>
      </c>
      <c r="BR7" s="191">
        <v>453547</v>
      </c>
      <c r="BS7" s="191">
        <v>274238</v>
      </c>
      <c r="BT7" s="191">
        <v>82935</v>
      </c>
      <c r="BU7" s="191">
        <v>82090</v>
      </c>
      <c r="BV7" s="189">
        <f t="shared" si="0"/>
        <v>39708847</v>
      </c>
    </row>
    <row r="8" spans="1:77" ht="11.25" customHeight="1">
      <c r="A8" s="934"/>
      <c r="B8" s="931" t="s">
        <v>591</v>
      </c>
      <c r="C8" s="932"/>
      <c r="D8" s="205">
        <v>846945</v>
      </c>
      <c r="E8" s="205">
        <v>73525</v>
      </c>
      <c r="F8" s="205">
        <v>571093</v>
      </c>
      <c r="G8" s="205">
        <v>162340</v>
      </c>
      <c r="H8" s="205">
        <v>216597</v>
      </c>
      <c r="I8" s="205">
        <v>2655402</v>
      </c>
      <c r="J8" s="205">
        <v>42893</v>
      </c>
      <c r="K8" s="205">
        <v>2171797</v>
      </c>
      <c r="L8" s="205">
        <v>582462</v>
      </c>
      <c r="M8" s="205">
        <v>151771</v>
      </c>
      <c r="N8" s="436">
        <v>797262</v>
      </c>
      <c r="O8" s="205">
        <v>815569</v>
      </c>
      <c r="P8" s="205">
        <v>1081630</v>
      </c>
      <c r="Q8" s="205">
        <v>217220</v>
      </c>
      <c r="R8" s="205">
        <v>456480</v>
      </c>
      <c r="S8" s="205">
        <v>127559</v>
      </c>
      <c r="T8" s="205">
        <v>46616</v>
      </c>
      <c r="U8" s="934"/>
      <c r="V8" s="931" t="s">
        <v>591</v>
      </c>
      <c r="W8" s="932"/>
      <c r="X8" s="205">
        <v>78852</v>
      </c>
      <c r="Y8" s="205">
        <v>62510</v>
      </c>
      <c r="Z8" s="205">
        <v>75660</v>
      </c>
      <c r="AA8" s="205">
        <v>42183</v>
      </c>
      <c r="AB8" s="205">
        <v>1332828</v>
      </c>
      <c r="AC8" s="205">
        <v>676744</v>
      </c>
      <c r="AD8" s="205">
        <v>309992</v>
      </c>
      <c r="AE8" s="205">
        <v>381859</v>
      </c>
      <c r="AF8" s="205">
        <v>190116</v>
      </c>
      <c r="AG8" s="205">
        <v>228485</v>
      </c>
      <c r="AH8" s="205">
        <v>82541</v>
      </c>
      <c r="AI8" s="205">
        <v>137787</v>
      </c>
      <c r="AJ8" s="205">
        <v>1474626</v>
      </c>
      <c r="AK8" s="205">
        <v>236426</v>
      </c>
      <c r="AL8" s="205">
        <v>182703</v>
      </c>
      <c r="AM8" s="436">
        <v>128928</v>
      </c>
      <c r="AN8" s="436">
        <v>102533</v>
      </c>
      <c r="AO8" s="934"/>
      <c r="AP8" s="931" t="s">
        <v>591</v>
      </c>
      <c r="AQ8" s="932"/>
      <c r="AR8" s="436">
        <v>100372</v>
      </c>
      <c r="AS8" s="436">
        <v>134694</v>
      </c>
      <c r="AT8" s="205">
        <v>4145179</v>
      </c>
      <c r="AU8" s="436"/>
      <c r="AV8" s="436"/>
      <c r="AW8" s="436"/>
      <c r="AX8" s="205">
        <v>1389468</v>
      </c>
      <c r="AY8" s="436">
        <v>1604800</v>
      </c>
      <c r="AZ8" s="436">
        <v>174765</v>
      </c>
      <c r="BA8" s="436">
        <v>399509</v>
      </c>
      <c r="BB8" s="436">
        <v>197242</v>
      </c>
      <c r="BC8" s="436">
        <v>158816</v>
      </c>
      <c r="BD8" s="436">
        <v>239295</v>
      </c>
      <c r="BE8" s="436">
        <v>3335600</v>
      </c>
      <c r="BF8" s="436">
        <v>6002839</v>
      </c>
      <c r="BG8" s="205">
        <v>980101</v>
      </c>
      <c r="BH8" s="436">
        <v>115315</v>
      </c>
      <c r="BI8" s="934"/>
      <c r="BJ8" s="931" t="s">
        <v>591</v>
      </c>
      <c r="BK8" s="932"/>
      <c r="BL8" s="436">
        <v>186064</v>
      </c>
      <c r="BM8" s="436">
        <v>98965</v>
      </c>
      <c r="BN8" s="436">
        <v>153222</v>
      </c>
      <c r="BO8" s="205">
        <v>126292</v>
      </c>
      <c r="BP8" s="205">
        <v>73768</v>
      </c>
      <c r="BQ8" s="205">
        <v>937783</v>
      </c>
      <c r="BR8" s="436">
        <v>441319</v>
      </c>
      <c r="BS8" s="436">
        <v>269008</v>
      </c>
      <c r="BT8" s="436">
        <v>80231</v>
      </c>
      <c r="BU8" s="436">
        <v>81542</v>
      </c>
      <c r="BV8" s="189">
        <f t="shared" si="0"/>
        <v>38168123</v>
      </c>
      <c r="BY8" s="435"/>
    </row>
    <row r="9" spans="1:77" ht="11.25" customHeight="1">
      <c r="A9" s="934"/>
      <c r="B9" s="931" t="s">
        <v>592</v>
      </c>
      <c r="C9" s="932"/>
      <c r="D9" s="205">
        <v>0</v>
      </c>
      <c r="E9" s="205">
        <v>1778</v>
      </c>
      <c r="F9" s="205">
        <v>11233</v>
      </c>
      <c r="G9" s="205">
        <v>0</v>
      </c>
      <c r="H9" s="205">
        <v>5233</v>
      </c>
      <c r="I9" s="205">
        <v>15148</v>
      </c>
      <c r="J9" s="205">
        <v>0</v>
      </c>
      <c r="K9" s="205">
        <v>3655</v>
      </c>
      <c r="L9" s="205">
        <v>1851</v>
      </c>
      <c r="M9" s="205">
        <v>0</v>
      </c>
      <c r="N9" s="436">
        <v>0</v>
      </c>
      <c r="O9" s="205">
        <v>3104</v>
      </c>
      <c r="P9" s="205">
        <v>14353</v>
      </c>
      <c r="Q9" s="205">
        <v>829</v>
      </c>
      <c r="R9" s="205">
        <v>0</v>
      </c>
      <c r="S9" s="205">
        <v>0</v>
      </c>
      <c r="T9" s="205">
        <v>0</v>
      </c>
      <c r="U9" s="934"/>
      <c r="V9" s="931" t="s">
        <v>592</v>
      </c>
      <c r="W9" s="932"/>
      <c r="X9" s="205">
        <v>0</v>
      </c>
      <c r="Y9" s="205">
        <v>380</v>
      </c>
      <c r="Z9" s="205">
        <v>0</v>
      </c>
      <c r="AA9" s="205">
        <v>0</v>
      </c>
      <c r="AB9" s="205">
        <v>0</v>
      </c>
      <c r="AC9" s="205">
        <v>0</v>
      </c>
      <c r="AD9" s="205">
        <v>0</v>
      </c>
      <c r="AE9" s="205">
        <v>8035</v>
      </c>
      <c r="AF9" s="205">
        <v>0</v>
      </c>
      <c r="AG9" s="205">
        <v>0</v>
      </c>
      <c r="AH9" s="205">
        <v>0</v>
      </c>
      <c r="AI9" s="205">
        <v>0</v>
      </c>
      <c r="AJ9" s="205">
        <v>6169</v>
      </c>
      <c r="AK9" s="205">
        <v>0</v>
      </c>
      <c r="AL9" s="205">
        <v>333</v>
      </c>
      <c r="AM9" s="436">
        <v>0</v>
      </c>
      <c r="AN9" s="436">
        <v>8099</v>
      </c>
      <c r="AO9" s="934"/>
      <c r="AP9" s="931" t="s">
        <v>592</v>
      </c>
      <c r="AQ9" s="932"/>
      <c r="AR9" s="436">
        <v>2117</v>
      </c>
      <c r="AS9" s="436">
        <v>0</v>
      </c>
      <c r="AT9" s="205">
        <v>25508</v>
      </c>
      <c r="AU9" s="436"/>
      <c r="AV9" s="436"/>
      <c r="AW9" s="436"/>
      <c r="AX9" s="205">
        <v>1746</v>
      </c>
      <c r="AY9" s="436">
        <v>6224</v>
      </c>
      <c r="AZ9" s="436">
        <v>0</v>
      </c>
      <c r="BA9" s="436">
        <v>0</v>
      </c>
      <c r="BB9" s="436">
        <v>2857</v>
      </c>
      <c r="BC9" s="436">
        <v>0</v>
      </c>
      <c r="BD9" s="436">
        <v>0</v>
      </c>
      <c r="BE9" s="436">
        <v>0</v>
      </c>
      <c r="BF9" s="436">
        <v>0</v>
      </c>
      <c r="BG9" s="205">
        <v>797</v>
      </c>
      <c r="BH9" s="436">
        <v>0</v>
      </c>
      <c r="BI9" s="934"/>
      <c r="BJ9" s="931" t="s">
        <v>592</v>
      </c>
      <c r="BK9" s="932"/>
      <c r="BL9" s="436">
        <v>3041</v>
      </c>
      <c r="BM9" s="436">
        <v>0</v>
      </c>
      <c r="BN9" s="436">
        <v>785</v>
      </c>
      <c r="BO9" s="205">
        <v>0</v>
      </c>
      <c r="BP9" s="205">
        <v>0</v>
      </c>
      <c r="BQ9" s="205">
        <v>3844</v>
      </c>
      <c r="BR9" s="436">
        <v>715</v>
      </c>
      <c r="BS9" s="436">
        <v>4292</v>
      </c>
      <c r="BT9" s="436">
        <v>0</v>
      </c>
      <c r="BU9" s="436">
        <v>0</v>
      </c>
      <c r="BV9" s="189">
        <f t="shared" si="0"/>
        <v>132126</v>
      </c>
      <c r="BY9" s="435"/>
    </row>
    <row r="10" spans="1:77" ht="11.25" customHeight="1">
      <c r="A10" s="934"/>
      <c r="B10" s="931" t="s">
        <v>593</v>
      </c>
      <c r="C10" s="932"/>
      <c r="D10" s="205">
        <v>20014</v>
      </c>
      <c r="E10" s="205">
        <v>2517</v>
      </c>
      <c r="F10" s="205">
        <v>8894</v>
      </c>
      <c r="G10" s="205">
        <v>5446</v>
      </c>
      <c r="H10" s="205">
        <v>4119</v>
      </c>
      <c r="I10" s="205">
        <v>126832</v>
      </c>
      <c r="J10" s="205">
        <v>0</v>
      </c>
      <c r="K10" s="205">
        <v>109154</v>
      </c>
      <c r="L10" s="205">
        <v>5883</v>
      </c>
      <c r="M10" s="205">
        <v>464</v>
      </c>
      <c r="N10" s="436">
        <v>7995</v>
      </c>
      <c r="O10" s="205">
        <v>1164</v>
      </c>
      <c r="P10" s="205">
        <v>4881</v>
      </c>
      <c r="Q10" s="205">
        <v>12439</v>
      </c>
      <c r="R10" s="205">
        <v>8315</v>
      </c>
      <c r="S10" s="205">
        <v>10180</v>
      </c>
      <c r="T10" s="205">
        <v>0</v>
      </c>
      <c r="U10" s="934"/>
      <c r="V10" s="931" t="s">
        <v>593</v>
      </c>
      <c r="W10" s="932"/>
      <c r="X10" s="205">
        <v>0</v>
      </c>
      <c r="Y10" s="205">
        <v>786</v>
      </c>
      <c r="Z10" s="205">
        <v>0</v>
      </c>
      <c r="AA10" s="205">
        <v>0</v>
      </c>
      <c r="AB10" s="205">
        <v>27251</v>
      </c>
      <c r="AC10" s="205">
        <v>4324</v>
      </c>
      <c r="AD10" s="205">
        <v>669</v>
      </c>
      <c r="AE10" s="205">
        <v>9722</v>
      </c>
      <c r="AF10" s="205">
        <v>2199</v>
      </c>
      <c r="AG10" s="205">
        <v>1811</v>
      </c>
      <c r="AH10" s="205">
        <v>11107</v>
      </c>
      <c r="AI10" s="205">
        <v>1560</v>
      </c>
      <c r="AJ10" s="205">
        <v>106892</v>
      </c>
      <c r="AK10" s="205">
        <v>9322</v>
      </c>
      <c r="AL10" s="205">
        <v>1945</v>
      </c>
      <c r="AM10" s="436">
        <v>2964</v>
      </c>
      <c r="AN10" s="436">
        <v>154</v>
      </c>
      <c r="AO10" s="934"/>
      <c r="AP10" s="931" t="s">
        <v>593</v>
      </c>
      <c r="AQ10" s="932"/>
      <c r="AR10" s="436">
        <v>503</v>
      </c>
      <c r="AS10" s="436">
        <v>1476</v>
      </c>
      <c r="AT10" s="205">
        <v>279641</v>
      </c>
      <c r="AU10" s="436"/>
      <c r="AV10" s="436"/>
      <c r="AW10" s="436"/>
      <c r="AX10" s="205">
        <v>134856</v>
      </c>
      <c r="AY10" s="436">
        <v>154469</v>
      </c>
      <c r="AZ10" s="436">
        <v>6041</v>
      </c>
      <c r="BA10" s="436">
        <v>23377</v>
      </c>
      <c r="BB10" s="436">
        <v>1282</v>
      </c>
      <c r="BC10" s="436">
        <v>584</v>
      </c>
      <c r="BD10" s="436">
        <v>17017</v>
      </c>
      <c r="BE10" s="436">
        <v>61507</v>
      </c>
      <c r="BF10" s="436">
        <v>55693</v>
      </c>
      <c r="BG10" s="205">
        <v>56049</v>
      </c>
      <c r="BH10" s="436">
        <v>1530</v>
      </c>
      <c r="BI10" s="934"/>
      <c r="BJ10" s="931" t="s">
        <v>593</v>
      </c>
      <c r="BK10" s="932"/>
      <c r="BL10" s="436">
        <v>3051</v>
      </c>
      <c r="BM10" s="436">
        <v>2542</v>
      </c>
      <c r="BN10" s="436">
        <v>8320</v>
      </c>
      <c r="BO10" s="205">
        <v>23937</v>
      </c>
      <c r="BP10" s="205">
        <v>22413</v>
      </c>
      <c r="BQ10" s="205">
        <v>29604</v>
      </c>
      <c r="BR10" s="436">
        <v>11513</v>
      </c>
      <c r="BS10" s="436">
        <v>938</v>
      </c>
      <c r="BT10" s="436">
        <v>2704</v>
      </c>
      <c r="BU10" s="436">
        <v>548</v>
      </c>
      <c r="BV10" s="189">
        <f t="shared" si="0"/>
        <v>1408598</v>
      </c>
      <c r="BY10" s="435"/>
    </row>
    <row r="11" spans="1:77" s="435" customFormat="1" ht="11.25" customHeight="1">
      <c r="A11" s="934"/>
      <c r="B11" s="931" t="s">
        <v>1005</v>
      </c>
      <c r="C11" s="932"/>
      <c r="D11" s="191">
        <v>73344</v>
      </c>
      <c r="E11" s="191">
        <v>6601</v>
      </c>
      <c r="F11" s="191">
        <v>66413</v>
      </c>
      <c r="G11" s="191">
        <v>20518</v>
      </c>
      <c r="H11" s="191">
        <v>43942</v>
      </c>
      <c r="I11" s="191">
        <v>362847</v>
      </c>
      <c r="J11" s="191">
        <v>0</v>
      </c>
      <c r="K11" s="191">
        <v>398090</v>
      </c>
      <c r="L11" s="191">
        <v>60187</v>
      </c>
      <c r="M11" s="191">
        <v>124699</v>
      </c>
      <c r="N11" s="191">
        <v>72465</v>
      </c>
      <c r="O11" s="191">
        <v>69049</v>
      </c>
      <c r="P11" s="191">
        <v>153713</v>
      </c>
      <c r="Q11" s="191">
        <v>9821</v>
      </c>
      <c r="R11" s="191">
        <v>139658</v>
      </c>
      <c r="S11" s="191">
        <v>29876</v>
      </c>
      <c r="T11" s="191">
        <v>0</v>
      </c>
      <c r="U11" s="934"/>
      <c r="V11" s="931" t="s">
        <v>1005</v>
      </c>
      <c r="W11" s="932"/>
      <c r="X11" s="191">
        <v>0</v>
      </c>
      <c r="Y11" s="191">
        <v>0</v>
      </c>
      <c r="Z11" s="191">
        <v>0</v>
      </c>
      <c r="AA11" s="191">
        <v>0</v>
      </c>
      <c r="AB11" s="191">
        <v>357485</v>
      </c>
      <c r="AC11" s="191">
        <v>80264</v>
      </c>
      <c r="AD11" s="191">
        <v>83273</v>
      </c>
      <c r="AE11" s="191">
        <v>84523</v>
      </c>
      <c r="AF11" s="191">
        <v>20985</v>
      </c>
      <c r="AG11" s="191">
        <v>31248</v>
      </c>
      <c r="AH11" s="191">
        <v>26805</v>
      </c>
      <c r="AI11" s="191">
        <v>10716</v>
      </c>
      <c r="AJ11" s="191">
        <v>391390</v>
      </c>
      <c r="AK11" s="191">
        <v>39905</v>
      </c>
      <c r="AL11" s="191">
        <v>33286</v>
      </c>
      <c r="AM11" s="191">
        <v>68902</v>
      </c>
      <c r="AN11" s="191">
        <v>50730</v>
      </c>
      <c r="AO11" s="934"/>
      <c r="AP11" s="931" t="s">
        <v>1005</v>
      </c>
      <c r="AQ11" s="932"/>
      <c r="AR11" s="191">
        <v>40423</v>
      </c>
      <c r="AS11" s="191">
        <v>34594</v>
      </c>
      <c r="AT11" s="191">
        <v>609676</v>
      </c>
      <c r="AU11" s="191"/>
      <c r="AV11" s="191"/>
      <c r="AW11" s="191"/>
      <c r="AX11" s="191">
        <v>241051</v>
      </c>
      <c r="AY11" s="191">
        <v>402206</v>
      </c>
      <c r="AZ11" s="191">
        <v>31556</v>
      </c>
      <c r="BA11" s="191">
        <v>98514</v>
      </c>
      <c r="BB11" s="191">
        <v>28635</v>
      </c>
      <c r="BC11" s="191">
        <v>22408</v>
      </c>
      <c r="BD11" s="191">
        <v>30755</v>
      </c>
      <c r="BE11" s="191">
        <v>484032</v>
      </c>
      <c r="BF11" s="191">
        <v>874043</v>
      </c>
      <c r="BG11" s="191">
        <v>155807</v>
      </c>
      <c r="BH11" s="191">
        <v>70518</v>
      </c>
      <c r="BI11" s="934"/>
      <c r="BJ11" s="931" t="s">
        <v>1005</v>
      </c>
      <c r="BK11" s="932"/>
      <c r="BL11" s="191">
        <v>18197</v>
      </c>
      <c r="BM11" s="191">
        <v>17286</v>
      </c>
      <c r="BN11" s="191">
        <v>26546</v>
      </c>
      <c r="BO11" s="191">
        <v>44311</v>
      </c>
      <c r="BP11" s="191">
        <v>15910</v>
      </c>
      <c r="BQ11" s="191">
        <v>121660</v>
      </c>
      <c r="BR11" s="191">
        <v>143149</v>
      </c>
      <c r="BS11" s="191">
        <v>56733</v>
      </c>
      <c r="BT11" s="191">
        <v>11836</v>
      </c>
      <c r="BU11" s="191">
        <v>8604</v>
      </c>
      <c r="BV11" s="189">
        <f t="shared" si="0"/>
        <v>6499185</v>
      </c>
    </row>
    <row r="12" spans="1:77" ht="11.25" customHeight="1">
      <c r="A12" s="934"/>
      <c r="B12" s="437" t="s">
        <v>1006</v>
      </c>
      <c r="C12" s="438"/>
      <c r="D12" s="205">
        <v>845</v>
      </c>
      <c r="E12" s="205">
        <v>2</v>
      </c>
      <c r="F12" s="205">
        <v>1043</v>
      </c>
      <c r="G12" s="205">
        <v>879</v>
      </c>
      <c r="H12" s="205">
        <v>313</v>
      </c>
      <c r="I12" s="205">
        <v>12860</v>
      </c>
      <c r="J12" s="205">
        <v>0</v>
      </c>
      <c r="K12" s="205">
        <v>1565</v>
      </c>
      <c r="L12" s="205">
        <v>80</v>
      </c>
      <c r="M12" s="205">
        <v>3</v>
      </c>
      <c r="N12" s="436">
        <v>298</v>
      </c>
      <c r="O12" s="205">
        <v>1087</v>
      </c>
      <c r="P12" s="205">
        <v>8091</v>
      </c>
      <c r="Q12" s="205">
        <v>109</v>
      </c>
      <c r="R12" s="205">
        <v>3724</v>
      </c>
      <c r="S12" s="205">
        <v>2638</v>
      </c>
      <c r="T12" s="205">
        <v>0</v>
      </c>
      <c r="U12" s="934"/>
      <c r="V12" s="437" t="s">
        <v>1007</v>
      </c>
      <c r="W12" s="438"/>
      <c r="X12" s="205">
        <v>0</v>
      </c>
      <c r="Y12" s="205">
        <v>0</v>
      </c>
      <c r="Z12" s="205">
        <v>0</v>
      </c>
      <c r="AA12" s="205">
        <v>0</v>
      </c>
      <c r="AB12" s="205">
        <v>19</v>
      </c>
      <c r="AC12" s="205">
        <v>555</v>
      </c>
      <c r="AD12" s="205">
        <v>406</v>
      </c>
      <c r="AE12" s="205">
        <v>59</v>
      </c>
      <c r="AF12" s="205">
        <v>32</v>
      </c>
      <c r="AG12" s="205">
        <v>213</v>
      </c>
      <c r="AH12" s="205">
        <v>17</v>
      </c>
      <c r="AI12" s="205">
        <v>129</v>
      </c>
      <c r="AJ12" s="205">
        <v>1360</v>
      </c>
      <c r="AK12" s="205">
        <v>171</v>
      </c>
      <c r="AL12" s="205">
        <v>1339</v>
      </c>
      <c r="AM12" s="436">
        <v>43</v>
      </c>
      <c r="AN12" s="436">
        <v>105</v>
      </c>
      <c r="AO12" s="934"/>
      <c r="AP12" s="437" t="s">
        <v>1007</v>
      </c>
      <c r="AQ12" s="438"/>
      <c r="AR12" s="436">
        <v>79</v>
      </c>
      <c r="AS12" s="436">
        <v>4</v>
      </c>
      <c r="AT12" s="205">
        <v>4537</v>
      </c>
      <c r="AU12" s="436"/>
      <c r="AV12" s="436"/>
      <c r="AW12" s="436"/>
      <c r="AX12" s="205">
        <v>2036</v>
      </c>
      <c r="AY12" s="436">
        <v>1870</v>
      </c>
      <c r="AZ12" s="436">
        <v>232</v>
      </c>
      <c r="BA12" s="436">
        <v>2063</v>
      </c>
      <c r="BB12" s="436">
        <v>402</v>
      </c>
      <c r="BC12" s="436">
        <v>80</v>
      </c>
      <c r="BD12" s="436">
        <v>161</v>
      </c>
      <c r="BE12" s="436">
        <v>242</v>
      </c>
      <c r="BF12" s="436">
        <v>17875</v>
      </c>
      <c r="BG12" s="205">
        <v>1074</v>
      </c>
      <c r="BH12" s="436">
        <v>2</v>
      </c>
      <c r="BI12" s="934"/>
      <c r="BJ12" s="437" t="s">
        <v>1007</v>
      </c>
      <c r="BK12" s="438"/>
      <c r="BL12" s="436">
        <v>288</v>
      </c>
      <c r="BM12" s="436">
        <v>335</v>
      </c>
      <c r="BN12" s="436">
        <v>83</v>
      </c>
      <c r="BO12" s="205">
        <v>139</v>
      </c>
      <c r="BP12" s="205">
        <v>132</v>
      </c>
      <c r="BQ12" s="205">
        <v>528</v>
      </c>
      <c r="BR12" s="436">
        <v>286</v>
      </c>
      <c r="BS12" s="436">
        <v>57</v>
      </c>
      <c r="BT12" s="436">
        <v>72</v>
      </c>
      <c r="BU12" s="436">
        <v>1</v>
      </c>
      <c r="BV12" s="189">
        <f t="shared" si="0"/>
        <v>70563</v>
      </c>
      <c r="BY12" s="435"/>
    </row>
    <row r="13" spans="1:77" ht="11.25" customHeight="1">
      <c r="A13" s="934"/>
      <c r="B13" s="437" t="s">
        <v>1008</v>
      </c>
      <c r="C13" s="438"/>
      <c r="D13" s="205">
        <v>0</v>
      </c>
      <c r="E13" s="205">
        <v>0</v>
      </c>
      <c r="F13" s="205">
        <v>0</v>
      </c>
      <c r="G13" s="205">
        <v>0</v>
      </c>
      <c r="H13" s="205">
        <v>0</v>
      </c>
      <c r="I13" s="205">
        <v>0</v>
      </c>
      <c r="J13" s="205">
        <v>0</v>
      </c>
      <c r="K13" s="205">
        <v>0</v>
      </c>
      <c r="L13" s="205">
        <v>0</v>
      </c>
      <c r="M13" s="205">
        <v>0</v>
      </c>
      <c r="N13" s="436">
        <v>0</v>
      </c>
      <c r="O13" s="205">
        <v>0</v>
      </c>
      <c r="P13" s="205">
        <v>0</v>
      </c>
      <c r="Q13" s="205">
        <v>0</v>
      </c>
      <c r="R13" s="205">
        <v>0</v>
      </c>
      <c r="S13" s="205">
        <v>0</v>
      </c>
      <c r="T13" s="205">
        <v>0</v>
      </c>
      <c r="U13" s="934"/>
      <c r="V13" s="437" t="s">
        <v>1009</v>
      </c>
      <c r="W13" s="438"/>
      <c r="X13" s="205">
        <v>0</v>
      </c>
      <c r="Y13" s="205">
        <v>0</v>
      </c>
      <c r="Z13" s="205">
        <v>0</v>
      </c>
      <c r="AA13" s="205">
        <v>0</v>
      </c>
      <c r="AB13" s="205">
        <v>0</v>
      </c>
      <c r="AC13" s="205">
        <v>0</v>
      </c>
      <c r="AD13" s="205">
        <v>0</v>
      </c>
      <c r="AE13" s="205">
        <v>0</v>
      </c>
      <c r="AF13" s="205">
        <v>0</v>
      </c>
      <c r="AG13" s="205">
        <v>0</v>
      </c>
      <c r="AH13" s="205">
        <v>0</v>
      </c>
      <c r="AI13" s="205">
        <v>0</v>
      </c>
      <c r="AJ13" s="205">
        <v>0</v>
      </c>
      <c r="AK13" s="205">
        <v>0</v>
      </c>
      <c r="AL13" s="205">
        <v>0</v>
      </c>
      <c r="AM13" s="436">
        <v>0</v>
      </c>
      <c r="AN13" s="436">
        <v>0</v>
      </c>
      <c r="AO13" s="934"/>
      <c r="AP13" s="437" t="s">
        <v>1009</v>
      </c>
      <c r="AQ13" s="438"/>
      <c r="AR13" s="436">
        <v>0</v>
      </c>
      <c r="AS13" s="436">
        <v>0</v>
      </c>
      <c r="AT13" s="205">
        <v>0</v>
      </c>
      <c r="AU13" s="436"/>
      <c r="AV13" s="436"/>
      <c r="AW13" s="436"/>
      <c r="AX13" s="205">
        <v>0</v>
      </c>
      <c r="AY13" s="436">
        <v>0</v>
      </c>
      <c r="AZ13" s="436">
        <v>0</v>
      </c>
      <c r="BA13" s="436">
        <v>0</v>
      </c>
      <c r="BB13" s="436">
        <v>0</v>
      </c>
      <c r="BC13" s="436">
        <v>0</v>
      </c>
      <c r="BD13" s="436">
        <v>0</v>
      </c>
      <c r="BE13" s="436">
        <v>0</v>
      </c>
      <c r="BF13" s="436">
        <v>0</v>
      </c>
      <c r="BG13" s="205">
        <v>0</v>
      </c>
      <c r="BH13" s="436">
        <v>0</v>
      </c>
      <c r="BI13" s="934"/>
      <c r="BJ13" s="437" t="s">
        <v>1009</v>
      </c>
      <c r="BK13" s="438"/>
      <c r="BL13" s="436">
        <v>0</v>
      </c>
      <c r="BM13" s="436">
        <v>0</v>
      </c>
      <c r="BN13" s="436">
        <v>0</v>
      </c>
      <c r="BO13" s="205">
        <v>0</v>
      </c>
      <c r="BP13" s="205">
        <v>0</v>
      </c>
      <c r="BQ13" s="205">
        <v>0</v>
      </c>
      <c r="BR13" s="436">
        <v>0</v>
      </c>
      <c r="BS13" s="436">
        <v>0</v>
      </c>
      <c r="BT13" s="436">
        <v>0</v>
      </c>
      <c r="BU13" s="436">
        <v>0</v>
      </c>
      <c r="BV13" s="189">
        <f t="shared" si="0"/>
        <v>0</v>
      </c>
      <c r="BY13" s="435"/>
    </row>
    <row r="14" spans="1:77" ht="11.25" customHeight="1">
      <c r="A14" s="934"/>
      <c r="B14" s="437" t="s">
        <v>1010</v>
      </c>
      <c r="C14" s="438"/>
      <c r="D14" s="205">
        <v>0</v>
      </c>
      <c r="E14" s="205">
        <v>0</v>
      </c>
      <c r="F14" s="205">
        <v>0</v>
      </c>
      <c r="G14" s="205">
        <v>0</v>
      </c>
      <c r="H14" s="205">
        <v>0</v>
      </c>
      <c r="I14" s="205">
        <v>17533</v>
      </c>
      <c r="J14" s="205">
        <v>0</v>
      </c>
      <c r="K14" s="205">
        <v>0</v>
      </c>
      <c r="L14" s="205">
        <v>0</v>
      </c>
      <c r="M14" s="205">
        <v>0</v>
      </c>
      <c r="N14" s="436">
        <v>0</v>
      </c>
      <c r="O14" s="205">
        <v>0</v>
      </c>
      <c r="P14" s="205">
        <v>2000</v>
      </c>
      <c r="Q14" s="205">
        <v>0</v>
      </c>
      <c r="R14" s="205">
        <v>0</v>
      </c>
      <c r="S14" s="205">
        <v>0</v>
      </c>
      <c r="T14" s="205">
        <v>0</v>
      </c>
      <c r="U14" s="934"/>
      <c r="V14" s="437" t="s">
        <v>1011</v>
      </c>
      <c r="W14" s="438"/>
      <c r="X14" s="205">
        <v>0</v>
      </c>
      <c r="Y14" s="205">
        <v>0</v>
      </c>
      <c r="Z14" s="205">
        <v>0</v>
      </c>
      <c r="AA14" s="205">
        <v>0</v>
      </c>
      <c r="AB14" s="205">
        <v>0</v>
      </c>
      <c r="AC14" s="205">
        <v>0</v>
      </c>
      <c r="AD14" s="205">
        <v>0</v>
      </c>
      <c r="AE14" s="205">
        <v>2892</v>
      </c>
      <c r="AF14" s="205">
        <v>0</v>
      </c>
      <c r="AG14" s="205">
        <v>0</v>
      </c>
      <c r="AH14" s="205">
        <v>0</v>
      </c>
      <c r="AI14" s="205">
        <v>0</v>
      </c>
      <c r="AJ14" s="205">
        <v>0</v>
      </c>
      <c r="AK14" s="205">
        <v>0</v>
      </c>
      <c r="AL14" s="205">
        <v>0</v>
      </c>
      <c r="AM14" s="436">
        <v>0</v>
      </c>
      <c r="AN14" s="436">
        <v>0</v>
      </c>
      <c r="AO14" s="934"/>
      <c r="AP14" s="437" t="s">
        <v>1011</v>
      </c>
      <c r="AQ14" s="438"/>
      <c r="AR14" s="436">
        <v>0</v>
      </c>
      <c r="AS14" s="436">
        <v>0</v>
      </c>
      <c r="AT14" s="205">
        <v>0</v>
      </c>
      <c r="AU14" s="436"/>
      <c r="AV14" s="436"/>
      <c r="AW14" s="436"/>
      <c r="AX14" s="205">
        <v>0</v>
      </c>
      <c r="AY14" s="436">
        <v>0</v>
      </c>
      <c r="AZ14" s="436">
        <v>0</v>
      </c>
      <c r="BA14" s="436">
        <v>0</v>
      </c>
      <c r="BB14" s="436">
        <v>0</v>
      </c>
      <c r="BC14" s="436">
        <v>0</v>
      </c>
      <c r="BD14" s="436">
        <v>0</v>
      </c>
      <c r="BE14" s="436">
        <v>0</v>
      </c>
      <c r="BF14" s="436">
        <v>1438</v>
      </c>
      <c r="BG14" s="205">
        <v>0</v>
      </c>
      <c r="BH14" s="436">
        <v>1000</v>
      </c>
      <c r="BI14" s="934"/>
      <c r="BJ14" s="437" t="s">
        <v>1011</v>
      </c>
      <c r="BK14" s="438"/>
      <c r="BL14" s="436">
        <v>0</v>
      </c>
      <c r="BM14" s="436">
        <v>0</v>
      </c>
      <c r="BN14" s="436">
        <v>21540</v>
      </c>
      <c r="BO14" s="205">
        <v>0</v>
      </c>
      <c r="BP14" s="205">
        <v>0</v>
      </c>
      <c r="BQ14" s="205">
        <v>0</v>
      </c>
      <c r="BR14" s="436">
        <v>0</v>
      </c>
      <c r="BS14" s="436">
        <v>0</v>
      </c>
      <c r="BT14" s="436">
        <v>0</v>
      </c>
      <c r="BU14" s="436">
        <v>0</v>
      </c>
      <c r="BV14" s="189">
        <f t="shared" si="0"/>
        <v>46403</v>
      </c>
      <c r="BY14" s="435"/>
    </row>
    <row r="15" spans="1:77" ht="11.25" customHeight="1">
      <c r="A15" s="934"/>
      <c r="B15" s="804" t="s">
        <v>1012</v>
      </c>
      <c r="C15" s="805"/>
      <c r="D15" s="205">
        <v>0</v>
      </c>
      <c r="E15" s="205">
        <v>6006</v>
      </c>
      <c r="F15" s="205">
        <v>0</v>
      </c>
      <c r="G15" s="205">
        <v>0</v>
      </c>
      <c r="H15" s="205">
        <v>3811</v>
      </c>
      <c r="I15" s="205">
        <v>7371</v>
      </c>
      <c r="J15" s="205">
        <v>0</v>
      </c>
      <c r="K15" s="205">
        <v>18448</v>
      </c>
      <c r="L15" s="205">
        <v>1596</v>
      </c>
      <c r="M15" s="205">
        <v>32593</v>
      </c>
      <c r="N15" s="436">
        <v>0</v>
      </c>
      <c r="O15" s="205">
        <v>0</v>
      </c>
      <c r="P15" s="205">
        <v>8295</v>
      </c>
      <c r="Q15" s="205">
        <v>0</v>
      </c>
      <c r="R15" s="205">
        <v>2669</v>
      </c>
      <c r="S15" s="205">
        <v>0</v>
      </c>
      <c r="T15" s="205">
        <v>0</v>
      </c>
      <c r="U15" s="934"/>
      <c r="V15" s="804" t="s">
        <v>1013</v>
      </c>
      <c r="W15" s="805"/>
      <c r="X15" s="205">
        <v>0</v>
      </c>
      <c r="Y15" s="205">
        <v>0</v>
      </c>
      <c r="Z15" s="205">
        <v>0</v>
      </c>
      <c r="AA15" s="205">
        <v>0</v>
      </c>
      <c r="AB15" s="205">
        <v>61857</v>
      </c>
      <c r="AC15" s="205">
        <v>11986</v>
      </c>
      <c r="AD15" s="205">
        <v>7054</v>
      </c>
      <c r="AE15" s="205">
        <v>0</v>
      </c>
      <c r="AF15" s="205">
        <v>0</v>
      </c>
      <c r="AG15" s="205">
        <v>0</v>
      </c>
      <c r="AH15" s="205">
        <v>0</v>
      </c>
      <c r="AI15" s="205">
        <v>0</v>
      </c>
      <c r="AJ15" s="205">
        <v>153251</v>
      </c>
      <c r="AK15" s="205">
        <v>3701</v>
      </c>
      <c r="AL15" s="205">
        <v>5869</v>
      </c>
      <c r="AM15" s="436">
        <v>6096</v>
      </c>
      <c r="AN15" s="436">
        <v>3693</v>
      </c>
      <c r="AO15" s="934"/>
      <c r="AP15" s="804" t="s">
        <v>1013</v>
      </c>
      <c r="AQ15" s="805"/>
      <c r="AR15" s="436">
        <v>4990</v>
      </c>
      <c r="AS15" s="436">
        <v>3868</v>
      </c>
      <c r="AT15" s="205">
        <v>31965</v>
      </c>
      <c r="AU15" s="436"/>
      <c r="AV15" s="436"/>
      <c r="AW15" s="436"/>
      <c r="AX15" s="205">
        <v>34105</v>
      </c>
      <c r="AY15" s="436">
        <v>123719</v>
      </c>
      <c r="AZ15" s="436">
        <v>16028</v>
      </c>
      <c r="BA15" s="436">
        <v>510</v>
      </c>
      <c r="BB15" s="436">
        <v>0</v>
      </c>
      <c r="BC15" s="436">
        <v>0</v>
      </c>
      <c r="BD15" s="436">
        <v>973</v>
      </c>
      <c r="BE15" s="436">
        <v>27668</v>
      </c>
      <c r="BF15" s="436">
        <v>262763</v>
      </c>
      <c r="BG15" s="205">
        <v>5286</v>
      </c>
      <c r="BH15" s="436">
        <v>2067</v>
      </c>
      <c r="BI15" s="934"/>
      <c r="BJ15" s="804" t="s">
        <v>1013</v>
      </c>
      <c r="BK15" s="805"/>
      <c r="BL15" s="436">
        <v>0</v>
      </c>
      <c r="BM15" s="436">
        <v>3655</v>
      </c>
      <c r="BN15" s="436">
        <v>2330</v>
      </c>
      <c r="BO15" s="205">
        <v>0</v>
      </c>
      <c r="BP15" s="205">
        <v>0</v>
      </c>
      <c r="BQ15" s="205">
        <v>5882</v>
      </c>
      <c r="BR15" s="436">
        <v>6269</v>
      </c>
      <c r="BS15" s="436">
        <v>10690</v>
      </c>
      <c r="BT15" s="436">
        <v>226</v>
      </c>
      <c r="BU15" s="436">
        <v>8570</v>
      </c>
      <c r="BV15" s="189">
        <f t="shared" si="0"/>
        <v>885860</v>
      </c>
      <c r="BY15" s="435"/>
    </row>
    <row r="16" spans="1:77" ht="11.25" customHeight="1">
      <c r="A16" s="934"/>
      <c r="B16" s="804" t="s">
        <v>1014</v>
      </c>
      <c r="C16" s="805"/>
      <c r="D16" s="205">
        <v>71263</v>
      </c>
      <c r="E16" s="205">
        <v>593</v>
      </c>
      <c r="F16" s="205">
        <v>56139</v>
      </c>
      <c r="G16" s="205">
        <v>18647</v>
      </c>
      <c r="H16" s="205">
        <v>37848</v>
      </c>
      <c r="I16" s="205">
        <v>293377</v>
      </c>
      <c r="J16" s="205">
        <v>0</v>
      </c>
      <c r="K16" s="205">
        <v>334268</v>
      </c>
      <c r="L16" s="205">
        <v>57863</v>
      </c>
      <c r="M16" s="205">
        <v>90770</v>
      </c>
      <c r="N16" s="436">
        <v>71853</v>
      </c>
      <c r="O16" s="205">
        <v>59934</v>
      </c>
      <c r="P16" s="205">
        <v>134319</v>
      </c>
      <c r="Q16" s="205">
        <v>8527</v>
      </c>
      <c r="R16" s="205">
        <v>131621</v>
      </c>
      <c r="S16" s="205">
        <v>27106</v>
      </c>
      <c r="T16" s="205">
        <v>0</v>
      </c>
      <c r="U16" s="934"/>
      <c r="V16" s="804" t="s">
        <v>1015</v>
      </c>
      <c r="W16" s="805"/>
      <c r="X16" s="205">
        <v>0</v>
      </c>
      <c r="Y16" s="205">
        <v>0</v>
      </c>
      <c r="Z16" s="205">
        <v>0</v>
      </c>
      <c r="AA16" s="205">
        <v>0</v>
      </c>
      <c r="AB16" s="205">
        <v>293570</v>
      </c>
      <c r="AC16" s="205">
        <v>67053</v>
      </c>
      <c r="AD16" s="205">
        <v>67887</v>
      </c>
      <c r="AE16" s="205">
        <v>69223</v>
      </c>
      <c r="AF16" s="205">
        <v>19305</v>
      </c>
      <c r="AG16" s="205">
        <v>28091</v>
      </c>
      <c r="AH16" s="205">
        <v>25320</v>
      </c>
      <c r="AI16" s="205">
        <v>9984</v>
      </c>
      <c r="AJ16" s="205">
        <v>229247</v>
      </c>
      <c r="AK16" s="205">
        <v>26336</v>
      </c>
      <c r="AL16" s="205">
        <v>26005</v>
      </c>
      <c r="AM16" s="436">
        <v>62437</v>
      </c>
      <c r="AN16" s="436">
        <v>46932</v>
      </c>
      <c r="AO16" s="934"/>
      <c r="AP16" s="804" t="s">
        <v>1015</v>
      </c>
      <c r="AQ16" s="805"/>
      <c r="AR16" s="436">
        <v>35234</v>
      </c>
      <c r="AS16" s="436">
        <v>28708</v>
      </c>
      <c r="AT16" s="205">
        <v>571726</v>
      </c>
      <c r="AU16" s="436"/>
      <c r="AV16" s="436"/>
      <c r="AW16" s="436"/>
      <c r="AX16" s="205">
        <v>201709</v>
      </c>
      <c r="AY16" s="436">
        <v>276304</v>
      </c>
      <c r="AZ16" s="436">
        <v>12342</v>
      </c>
      <c r="BA16" s="436">
        <v>58835</v>
      </c>
      <c r="BB16" s="436">
        <v>27591</v>
      </c>
      <c r="BC16" s="436">
        <v>18279</v>
      </c>
      <c r="BD16" s="436">
        <v>29586</v>
      </c>
      <c r="BE16" s="436">
        <v>447957</v>
      </c>
      <c r="BF16" s="436">
        <v>501400</v>
      </c>
      <c r="BG16" s="205">
        <v>121224</v>
      </c>
      <c r="BH16" s="436">
        <v>67446</v>
      </c>
      <c r="BI16" s="934"/>
      <c r="BJ16" s="804" t="s">
        <v>1015</v>
      </c>
      <c r="BK16" s="805"/>
      <c r="BL16" s="436">
        <v>12314</v>
      </c>
      <c r="BM16" s="436">
        <v>12631</v>
      </c>
      <c r="BN16" s="436">
        <v>2329</v>
      </c>
      <c r="BO16" s="205">
        <v>40157</v>
      </c>
      <c r="BP16" s="205">
        <v>15586</v>
      </c>
      <c r="BQ16" s="205">
        <v>113562</v>
      </c>
      <c r="BR16" s="436">
        <v>122913</v>
      </c>
      <c r="BS16" s="436">
        <v>44911</v>
      </c>
      <c r="BT16" s="436">
        <v>11480</v>
      </c>
      <c r="BU16" s="436">
        <v>33</v>
      </c>
      <c r="BV16" s="189">
        <f t="shared" si="0"/>
        <v>5139775</v>
      </c>
      <c r="BY16" s="435"/>
    </row>
    <row r="17" spans="1:77" ht="11.25" customHeight="1">
      <c r="A17" s="934"/>
      <c r="B17" s="437" t="s">
        <v>1016</v>
      </c>
      <c r="C17" s="438"/>
      <c r="D17" s="205">
        <v>1236</v>
      </c>
      <c r="E17" s="205">
        <v>0</v>
      </c>
      <c r="F17" s="205">
        <v>9231</v>
      </c>
      <c r="G17" s="205">
        <v>992</v>
      </c>
      <c r="H17" s="205">
        <v>1970</v>
      </c>
      <c r="I17" s="205">
        <v>31706</v>
      </c>
      <c r="J17" s="205">
        <v>0</v>
      </c>
      <c r="K17" s="205">
        <v>43809</v>
      </c>
      <c r="L17" s="205">
        <v>648</v>
      </c>
      <c r="M17" s="205">
        <v>1333</v>
      </c>
      <c r="N17" s="436">
        <v>314</v>
      </c>
      <c r="O17" s="205">
        <v>8028</v>
      </c>
      <c r="P17" s="205">
        <v>1008</v>
      </c>
      <c r="Q17" s="205">
        <v>1185</v>
      </c>
      <c r="R17" s="205">
        <v>1644</v>
      </c>
      <c r="S17" s="205">
        <v>132</v>
      </c>
      <c r="T17" s="205">
        <v>0</v>
      </c>
      <c r="U17" s="934"/>
      <c r="V17" s="437" t="s">
        <v>1017</v>
      </c>
      <c r="W17" s="438"/>
      <c r="X17" s="205">
        <v>0</v>
      </c>
      <c r="Y17" s="205">
        <v>0</v>
      </c>
      <c r="Z17" s="205">
        <v>0</v>
      </c>
      <c r="AA17" s="205">
        <v>0</v>
      </c>
      <c r="AB17" s="205">
        <v>2039</v>
      </c>
      <c r="AC17" s="205">
        <v>670</v>
      </c>
      <c r="AD17" s="205">
        <v>7926</v>
      </c>
      <c r="AE17" s="205">
        <v>12349</v>
      </c>
      <c r="AF17" s="205">
        <v>1648</v>
      </c>
      <c r="AG17" s="205">
        <v>2944</v>
      </c>
      <c r="AH17" s="205">
        <v>1468</v>
      </c>
      <c r="AI17" s="205">
        <v>603</v>
      </c>
      <c r="AJ17" s="205">
        <v>7532</v>
      </c>
      <c r="AK17" s="205">
        <v>9697</v>
      </c>
      <c r="AL17" s="205">
        <v>73</v>
      </c>
      <c r="AM17" s="436">
        <v>326</v>
      </c>
      <c r="AN17" s="436">
        <v>0</v>
      </c>
      <c r="AO17" s="934"/>
      <c r="AP17" s="437" t="s">
        <v>1017</v>
      </c>
      <c r="AQ17" s="438"/>
      <c r="AR17" s="436">
        <v>120</v>
      </c>
      <c r="AS17" s="436">
        <v>2014</v>
      </c>
      <c r="AT17" s="205">
        <v>1448</v>
      </c>
      <c r="AU17" s="436"/>
      <c r="AV17" s="436"/>
      <c r="AW17" s="436"/>
      <c r="AX17" s="205">
        <v>3201</v>
      </c>
      <c r="AY17" s="436">
        <v>313</v>
      </c>
      <c r="AZ17" s="436">
        <v>2954</v>
      </c>
      <c r="BA17" s="436">
        <v>37106</v>
      </c>
      <c r="BB17" s="436">
        <v>642</v>
      </c>
      <c r="BC17" s="436">
        <v>4049</v>
      </c>
      <c r="BD17" s="436">
        <v>35</v>
      </c>
      <c r="BE17" s="436">
        <v>8165</v>
      </c>
      <c r="BF17" s="436">
        <v>90567</v>
      </c>
      <c r="BG17" s="205">
        <v>28223</v>
      </c>
      <c r="BH17" s="436">
        <v>3</v>
      </c>
      <c r="BI17" s="934"/>
      <c r="BJ17" s="437" t="s">
        <v>1017</v>
      </c>
      <c r="BK17" s="438"/>
      <c r="BL17" s="436">
        <v>5595</v>
      </c>
      <c r="BM17" s="436">
        <v>665</v>
      </c>
      <c r="BN17" s="436">
        <v>264</v>
      </c>
      <c r="BO17" s="205">
        <v>4015</v>
      </c>
      <c r="BP17" s="205">
        <v>192</v>
      </c>
      <c r="BQ17" s="205">
        <v>1688</v>
      </c>
      <c r="BR17" s="436">
        <v>13681</v>
      </c>
      <c r="BS17" s="436">
        <v>1075</v>
      </c>
      <c r="BT17" s="436">
        <v>58</v>
      </c>
      <c r="BU17" s="436">
        <v>0</v>
      </c>
      <c r="BV17" s="189">
        <f t="shared" si="0"/>
        <v>356584</v>
      </c>
      <c r="BY17" s="435"/>
    </row>
    <row r="18" spans="1:77" s="435" customFormat="1" ht="11.25" customHeight="1">
      <c r="A18" s="934"/>
      <c r="B18" s="931" t="s">
        <v>601</v>
      </c>
      <c r="C18" s="932"/>
      <c r="D18" s="191">
        <v>42</v>
      </c>
      <c r="E18" s="191">
        <v>0</v>
      </c>
      <c r="F18" s="191">
        <v>0</v>
      </c>
      <c r="G18" s="191">
        <v>0</v>
      </c>
      <c r="H18" s="191">
        <v>7</v>
      </c>
      <c r="I18" s="191">
        <v>735</v>
      </c>
      <c r="J18" s="191">
        <v>0</v>
      </c>
      <c r="K18" s="191">
        <v>0</v>
      </c>
      <c r="L18" s="191">
        <v>0</v>
      </c>
      <c r="M18" s="191">
        <v>0</v>
      </c>
      <c r="N18" s="191">
        <v>149424</v>
      </c>
      <c r="O18" s="191">
        <v>0</v>
      </c>
      <c r="P18" s="191">
        <v>0</v>
      </c>
      <c r="Q18" s="191">
        <v>0</v>
      </c>
      <c r="R18" s="191">
        <v>0</v>
      </c>
      <c r="S18" s="191">
        <v>0</v>
      </c>
      <c r="T18" s="191">
        <v>0</v>
      </c>
      <c r="U18" s="934"/>
      <c r="V18" s="931" t="s">
        <v>601</v>
      </c>
      <c r="W18" s="932"/>
      <c r="X18" s="191">
        <v>0</v>
      </c>
      <c r="Y18" s="191">
        <v>0</v>
      </c>
      <c r="Z18" s="191">
        <v>0</v>
      </c>
      <c r="AA18" s="191">
        <v>0</v>
      </c>
      <c r="AB18" s="191">
        <v>840</v>
      </c>
      <c r="AC18" s="191">
        <v>0</v>
      </c>
      <c r="AD18" s="191">
        <v>0</v>
      </c>
      <c r="AE18" s="191">
        <v>0</v>
      </c>
      <c r="AF18" s="191">
        <v>0</v>
      </c>
      <c r="AG18" s="191">
        <v>0</v>
      </c>
      <c r="AH18" s="191">
        <v>0</v>
      </c>
      <c r="AI18" s="191">
        <v>0</v>
      </c>
      <c r="AJ18" s="191">
        <v>0</v>
      </c>
      <c r="AK18" s="191">
        <v>0</v>
      </c>
      <c r="AL18" s="191">
        <v>0</v>
      </c>
      <c r="AM18" s="191">
        <v>0</v>
      </c>
      <c r="AN18" s="191">
        <v>2</v>
      </c>
      <c r="AO18" s="934"/>
      <c r="AP18" s="931" t="s">
        <v>601</v>
      </c>
      <c r="AQ18" s="932"/>
      <c r="AR18" s="191">
        <v>0</v>
      </c>
      <c r="AS18" s="191">
        <v>0</v>
      </c>
      <c r="AT18" s="191">
        <v>2636</v>
      </c>
      <c r="AU18" s="191"/>
      <c r="AV18" s="191"/>
      <c r="AW18" s="191"/>
      <c r="AX18" s="191">
        <v>0</v>
      </c>
      <c r="AY18" s="191">
        <v>0</v>
      </c>
      <c r="AZ18" s="191">
        <v>0</v>
      </c>
      <c r="BA18" s="191">
        <v>1023</v>
      </c>
      <c r="BB18" s="191">
        <v>0</v>
      </c>
      <c r="BC18" s="191">
        <v>0</v>
      </c>
      <c r="BD18" s="191">
        <v>0</v>
      </c>
      <c r="BE18" s="191">
        <v>0</v>
      </c>
      <c r="BF18" s="191">
        <v>2448</v>
      </c>
      <c r="BG18" s="191">
        <v>55452</v>
      </c>
      <c r="BH18" s="191">
        <v>51</v>
      </c>
      <c r="BI18" s="934"/>
      <c r="BJ18" s="931" t="s">
        <v>601</v>
      </c>
      <c r="BK18" s="932"/>
      <c r="BL18" s="191">
        <v>0</v>
      </c>
      <c r="BM18" s="191">
        <v>0</v>
      </c>
      <c r="BN18" s="191">
        <v>0</v>
      </c>
      <c r="BO18" s="191">
        <v>0</v>
      </c>
      <c r="BP18" s="191">
        <v>0</v>
      </c>
      <c r="BQ18" s="191">
        <v>0</v>
      </c>
      <c r="BR18" s="191">
        <v>0</v>
      </c>
      <c r="BS18" s="191">
        <v>0</v>
      </c>
      <c r="BT18" s="191">
        <v>144</v>
      </c>
      <c r="BU18" s="191">
        <v>0</v>
      </c>
      <c r="BV18" s="189">
        <f t="shared" si="0"/>
        <v>212804</v>
      </c>
    </row>
    <row r="19" spans="1:77" s="435" customFormat="1" ht="11.25" customHeight="1">
      <c r="A19" s="934"/>
      <c r="B19" s="931" t="s">
        <v>602</v>
      </c>
      <c r="C19" s="932"/>
      <c r="D19" s="191">
        <v>879363</v>
      </c>
      <c r="E19" s="191">
        <v>89007</v>
      </c>
      <c r="F19" s="191">
        <v>507570</v>
      </c>
      <c r="G19" s="191">
        <v>154918</v>
      </c>
      <c r="H19" s="191">
        <v>259273</v>
      </c>
      <c r="I19" s="191">
        <v>2304849</v>
      </c>
      <c r="J19" s="191">
        <v>16695</v>
      </c>
      <c r="K19" s="191">
        <v>2402536</v>
      </c>
      <c r="L19" s="191">
        <v>523515</v>
      </c>
      <c r="M19" s="191">
        <v>262665</v>
      </c>
      <c r="N19" s="191">
        <v>681956</v>
      </c>
      <c r="O19" s="191">
        <v>818632</v>
      </c>
      <c r="P19" s="191">
        <v>982524</v>
      </c>
      <c r="Q19" s="191">
        <v>255356</v>
      </c>
      <c r="R19" s="191">
        <v>511109</v>
      </c>
      <c r="S19" s="191">
        <v>135550</v>
      </c>
      <c r="T19" s="191">
        <v>21204</v>
      </c>
      <c r="U19" s="934"/>
      <c r="V19" s="931" t="s">
        <v>602</v>
      </c>
      <c r="W19" s="932"/>
      <c r="X19" s="191">
        <v>72643</v>
      </c>
      <c r="Y19" s="191">
        <v>59776</v>
      </c>
      <c r="Z19" s="191">
        <v>65400</v>
      </c>
      <c r="AA19" s="191">
        <v>35891</v>
      </c>
      <c r="AB19" s="191">
        <v>1479040</v>
      </c>
      <c r="AC19" s="191">
        <v>636901</v>
      </c>
      <c r="AD19" s="191">
        <v>350929</v>
      </c>
      <c r="AE19" s="191">
        <v>448723</v>
      </c>
      <c r="AF19" s="191">
        <v>194661</v>
      </c>
      <c r="AG19" s="191">
        <v>237495</v>
      </c>
      <c r="AH19" s="191">
        <v>109224</v>
      </c>
      <c r="AI19" s="191">
        <v>117670</v>
      </c>
      <c r="AJ19" s="191">
        <v>1764026</v>
      </c>
      <c r="AK19" s="191">
        <v>264216</v>
      </c>
      <c r="AL19" s="191">
        <v>141349</v>
      </c>
      <c r="AM19" s="191">
        <v>192227</v>
      </c>
      <c r="AN19" s="191">
        <v>164955</v>
      </c>
      <c r="AO19" s="934"/>
      <c r="AP19" s="931" t="s">
        <v>602</v>
      </c>
      <c r="AQ19" s="932"/>
      <c r="AR19" s="191">
        <v>131006</v>
      </c>
      <c r="AS19" s="191">
        <v>154981</v>
      </c>
      <c r="AT19" s="191">
        <v>4847783</v>
      </c>
      <c r="AU19" s="191"/>
      <c r="AV19" s="191"/>
      <c r="AW19" s="191"/>
      <c r="AX19" s="191">
        <v>1464365</v>
      </c>
      <c r="AY19" s="191">
        <v>1737021</v>
      </c>
      <c r="AZ19" s="191">
        <v>175600</v>
      </c>
      <c r="BA19" s="191">
        <v>407325</v>
      </c>
      <c r="BB19" s="191">
        <v>150734</v>
      </c>
      <c r="BC19" s="191">
        <v>143736</v>
      </c>
      <c r="BD19" s="191">
        <v>233327</v>
      </c>
      <c r="BE19" s="191">
        <v>3366721</v>
      </c>
      <c r="BF19" s="191">
        <v>5517292</v>
      </c>
      <c r="BG19" s="191">
        <v>988046</v>
      </c>
      <c r="BH19" s="191">
        <v>173810</v>
      </c>
      <c r="BI19" s="934"/>
      <c r="BJ19" s="931" t="s">
        <v>602</v>
      </c>
      <c r="BK19" s="932"/>
      <c r="BL19" s="191">
        <v>142817</v>
      </c>
      <c r="BM19" s="191">
        <v>115277</v>
      </c>
      <c r="BN19" s="191">
        <v>169623</v>
      </c>
      <c r="BO19" s="191">
        <v>161598</v>
      </c>
      <c r="BP19" s="191">
        <v>104848</v>
      </c>
      <c r="BQ19" s="191">
        <v>789173</v>
      </c>
      <c r="BR19" s="191">
        <v>504528</v>
      </c>
      <c r="BS19" s="191">
        <v>261509</v>
      </c>
      <c r="BT19" s="191">
        <v>71485</v>
      </c>
      <c r="BU19" s="191">
        <v>63086</v>
      </c>
      <c r="BV19" s="189">
        <f t="shared" si="0"/>
        <v>39017539</v>
      </c>
    </row>
    <row r="20" spans="1:77" ht="11.25" customHeight="1">
      <c r="A20" s="934"/>
      <c r="B20" s="931" t="s">
        <v>603</v>
      </c>
      <c r="C20" s="932"/>
      <c r="D20" s="205">
        <v>838540</v>
      </c>
      <c r="E20" s="205">
        <v>86523</v>
      </c>
      <c r="F20" s="205">
        <v>487752</v>
      </c>
      <c r="G20" s="205">
        <v>149343</v>
      </c>
      <c r="H20" s="205">
        <v>248620</v>
      </c>
      <c r="I20" s="205">
        <v>2232742</v>
      </c>
      <c r="J20" s="205">
        <v>16695</v>
      </c>
      <c r="K20" s="205">
        <v>2271667</v>
      </c>
      <c r="L20" s="205">
        <v>478286</v>
      </c>
      <c r="M20" s="205">
        <v>239507</v>
      </c>
      <c r="N20" s="436">
        <v>629491</v>
      </c>
      <c r="O20" s="205">
        <v>797143</v>
      </c>
      <c r="P20" s="205">
        <v>969906</v>
      </c>
      <c r="Q20" s="205">
        <v>234933</v>
      </c>
      <c r="R20" s="205">
        <v>498079</v>
      </c>
      <c r="S20" s="205">
        <v>134484</v>
      </c>
      <c r="T20" s="205">
        <v>21204</v>
      </c>
      <c r="U20" s="934"/>
      <c r="V20" s="931" t="s">
        <v>603</v>
      </c>
      <c r="W20" s="932"/>
      <c r="X20" s="205">
        <v>72643</v>
      </c>
      <c r="Y20" s="205">
        <v>59776</v>
      </c>
      <c r="Z20" s="205">
        <v>65400</v>
      </c>
      <c r="AA20" s="205">
        <v>35891</v>
      </c>
      <c r="AB20" s="205">
        <v>1385288</v>
      </c>
      <c r="AC20" s="205">
        <v>616821</v>
      </c>
      <c r="AD20" s="205">
        <v>329078</v>
      </c>
      <c r="AE20" s="205">
        <v>420629</v>
      </c>
      <c r="AF20" s="205">
        <v>168989</v>
      </c>
      <c r="AG20" s="205">
        <v>234336</v>
      </c>
      <c r="AH20" s="205">
        <v>107603</v>
      </c>
      <c r="AI20" s="205">
        <v>113190</v>
      </c>
      <c r="AJ20" s="205">
        <v>1642047</v>
      </c>
      <c r="AK20" s="205">
        <v>251517</v>
      </c>
      <c r="AL20" s="205">
        <v>141263</v>
      </c>
      <c r="AM20" s="436">
        <v>179974</v>
      </c>
      <c r="AN20" s="436">
        <v>158137</v>
      </c>
      <c r="AO20" s="934"/>
      <c r="AP20" s="931" t="s">
        <v>603</v>
      </c>
      <c r="AQ20" s="932"/>
      <c r="AR20" s="436">
        <v>123386</v>
      </c>
      <c r="AS20" s="436">
        <v>135862</v>
      </c>
      <c r="AT20" s="205">
        <v>4686395</v>
      </c>
      <c r="AU20" s="436"/>
      <c r="AV20" s="436"/>
      <c r="AW20" s="436"/>
      <c r="AX20" s="205">
        <v>1374768</v>
      </c>
      <c r="AY20" s="436">
        <v>1615097</v>
      </c>
      <c r="AZ20" s="436">
        <v>169430</v>
      </c>
      <c r="BA20" s="436">
        <v>376968</v>
      </c>
      <c r="BB20" s="436">
        <v>147587</v>
      </c>
      <c r="BC20" s="436">
        <v>127634</v>
      </c>
      <c r="BD20" s="436">
        <v>221324</v>
      </c>
      <c r="BE20" s="436">
        <v>3066401</v>
      </c>
      <c r="BF20" s="436">
        <v>5048210</v>
      </c>
      <c r="BG20" s="205">
        <v>884954</v>
      </c>
      <c r="BH20" s="436">
        <v>164511</v>
      </c>
      <c r="BI20" s="934"/>
      <c r="BJ20" s="931" t="s">
        <v>603</v>
      </c>
      <c r="BK20" s="932"/>
      <c r="BL20" s="436">
        <v>135704</v>
      </c>
      <c r="BM20" s="436">
        <v>109677</v>
      </c>
      <c r="BN20" s="436">
        <v>157257</v>
      </c>
      <c r="BO20" s="205">
        <v>149626</v>
      </c>
      <c r="BP20" s="205">
        <v>96842</v>
      </c>
      <c r="BQ20" s="205">
        <v>744590</v>
      </c>
      <c r="BR20" s="436">
        <v>470268</v>
      </c>
      <c r="BS20" s="436">
        <v>237361</v>
      </c>
      <c r="BT20" s="436">
        <v>69098</v>
      </c>
      <c r="BU20" s="436">
        <v>58616</v>
      </c>
      <c r="BV20" s="189">
        <f t="shared" si="0"/>
        <v>36689063</v>
      </c>
      <c r="BY20" s="435"/>
    </row>
    <row r="21" spans="1:77" ht="11.25" customHeight="1">
      <c r="A21" s="934"/>
      <c r="B21" s="931" t="s">
        <v>604</v>
      </c>
      <c r="C21" s="932"/>
      <c r="D21" s="205">
        <v>148482</v>
      </c>
      <c r="E21" s="205">
        <v>5437</v>
      </c>
      <c r="F21" s="205">
        <v>90008</v>
      </c>
      <c r="G21" s="205">
        <v>26925</v>
      </c>
      <c r="H21" s="205">
        <v>8848</v>
      </c>
      <c r="I21" s="205">
        <v>278139</v>
      </c>
      <c r="J21" s="205">
        <v>0</v>
      </c>
      <c r="K21" s="205">
        <v>467707</v>
      </c>
      <c r="L21" s="205">
        <v>51982</v>
      </c>
      <c r="M21" s="205">
        <v>16573</v>
      </c>
      <c r="N21" s="436">
        <v>63113</v>
      </c>
      <c r="O21" s="205">
        <v>138083</v>
      </c>
      <c r="P21" s="205">
        <v>92464</v>
      </c>
      <c r="Q21" s="205">
        <v>47027</v>
      </c>
      <c r="R21" s="205">
        <v>40841</v>
      </c>
      <c r="S21" s="205">
        <v>14561</v>
      </c>
      <c r="T21" s="205">
        <v>10552</v>
      </c>
      <c r="U21" s="934"/>
      <c r="V21" s="931" t="s">
        <v>604</v>
      </c>
      <c r="W21" s="932"/>
      <c r="X21" s="205">
        <v>15086</v>
      </c>
      <c r="Y21" s="205">
        <v>8155</v>
      </c>
      <c r="Z21" s="205">
        <v>4000</v>
      </c>
      <c r="AA21" s="205">
        <v>500</v>
      </c>
      <c r="AB21" s="205">
        <v>425185</v>
      </c>
      <c r="AC21" s="205">
        <v>153346</v>
      </c>
      <c r="AD21" s="205">
        <v>48684</v>
      </c>
      <c r="AE21" s="205">
        <v>143081</v>
      </c>
      <c r="AF21" s="205">
        <v>11741</v>
      </c>
      <c r="AG21" s="205">
        <v>90097</v>
      </c>
      <c r="AH21" s="205">
        <v>7722</v>
      </c>
      <c r="AI21" s="205">
        <v>29731</v>
      </c>
      <c r="AJ21" s="205">
        <v>10575</v>
      </c>
      <c r="AK21" s="205">
        <v>35411</v>
      </c>
      <c r="AL21" s="205">
        <v>18982</v>
      </c>
      <c r="AM21" s="436">
        <v>24524</v>
      </c>
      <c r="AN21" s="436">
        <v>23144</v>
      </c>
      <c r="AO21" s="934"/>
      <c r="AP21" s="931" t="s">
        <v>604</v>
      </c>
      <c r="AQ21" s="932"/>
      <c r="AR21" s="436">
        <v>12346</v>
      </c>
      <c r="AS21" s="436">
        <v>8125</v>
      </c>
      <c r="AT21" s="205">
        <v>95119</v>
      </c>
      <c r="AU21" s="436"/>
      <c r="AV21" s="436"/>
      <c r="AW21" s="436"/>
      <c r="AX21" s="205">
        <v>390897</v>
      </c>
      <c r="AY21" s="436">
        <v>154659</v>
      </c>
      <c r="AZ21" s="436">
        <v>50811</v>
      </c>
      <c r="BA21" s="436">
        <v>22298</v>
      </c>
      <c r="BB21" s="436">
        <v>8621</v>
      </c>
      <c r="BC21" s="436">
        <v>10142</v>
      </c>
      <c r="BD21" s="436">
        <v>0</v>
      </c>
      <c r="BE21" s="436">
        <v>374436</v>
      </c>
      <c r="BF21" s="436">
        <v>216813</v>
      </c>
      <c r="BG21" s="205">
        <v>59142</v>
      </c>
      <c r="BH21" s="436">
        <v>39272</v>
      </c>
      <c r="BI21" s="934"/>
      <c r="BJ21" s="931" t="s">
        <v>604</v>
      </c>
      <c r="BK21" s="932"/>
      <c r="BL21" s="436">
        <v>58842</v>
      </c>
      <c r="BM21" s="436">
        <v>21528</v>
      </c>
      <c r="BN21" s="436">
        <v>14446</v>
      </c>
      <c r="BO21" s="205">
        <v>12974</v>
      </c>
      <c r="BP21" s="205">
        <v>13010</v>
      </c>
      <c r="BQ21" s="205">
        <v>114158</v>
      </c>
      <c r="BR21" s="436">
        <v>47422</v>
      </c>
      <c r="BS21" s="436">
        <v>36306</v>
      </c>
      <c r="BT21" s="436">
        <v>20330</v>
      </c>
      <c r="BU21" s="436">
        <v>7675</v>
      </c>
      <c r="BV21" s="189">
        <f t="shared" si="0"/>
        <v>4340078</v>
      </c>
      <c r="BY21" s="435"/>
    </row>
    <row r="22" spans="1:77" ht="11.25" customHeight="1">
      <c r="A22" s="934"/>
      <c r="B22" s="931" t="s">
        <v>605</v>
      </c>
      <c r="C22" s="932"/>
      <c r="D22" s="205">
        <v>0</v>
      </c>
      <c r="E22" s="205">
        <v>0</v>
      </c>
      <c r="F22" s="205">
        <v>0</v>
      </c>
      <c r="G22" s="205">
        <v>0</v>
      </c>
      <c r="H22" s="205">
        <v>0</v>
      </c>
      <c r="I22" s="205">
        <v>0</v>
      </c>
      <c r="J22" s="205">
        <v>0</v>
      </c>
      <c r="K22" s="205">
        <v>0</v>
      </c>
      <c r="L22" s="205">
        <v>0</v>
      </c>
      <c r="M22" s="205">
        <v>0</v>
      </c>
      <c r="N22" s="436">
        <v>0</v>
      </c>
      <c r="O22" s="205">
        <v>0</v>
      </c>
      <c r="P22" s="205">
        <v>0</v>
      </c>
      <c r="Q22" s="205">
        <v>0</v>
      </c>
      <c r="R22" s="205">
        <v>0</v>
      </c>
      <c r="S22" s="205">
        <v>0</v>
      </c>
      <c r="T22" s="205">
        <v>0</v>
      </c>
      <c r="U22" s="934"/>
      <c r="V22" s="931" t="s">
        <v>605</v>
      </c>
      <c r="W22" s="932"/>
      <c r="X22" s="205">
        <v>151</v>
      </c>
      <c r="Y22" s="205">
        <v>1268</v>
      </c>
      <c r="Z22" s="205">
        <v>4000</v>
      </c>
      <c r="AA22" s="205">
        <v>1000</v>
      </c>
      <c r="AB22" s="205">
        <v>0</v>
      </c>
      <c r="AC22" s="205">
        <v>7972</v>
      </c>
      <c r="AD22" s="205">
        <v>0</v>
      </c>
      <c r="AE22" s="205">
        <v>0</v>
      </c>
      <c r="AF22" s="205">
        <v>0</v>
      </c>
      <c r="AG22" s="205">
        <v>0</v>
      </c>
      <c r="AH22" s="205">
        <v>0</v>
      </c>
      <c r="AI22" s="205">
        <v>0</v>
      </c>
      <c r="AJ22" s="205">
        <v>393694</v>
      </c>
      <c r="AK22" s="205">
        <v>0</v>
      </c>
      <c r="AL22" s="205">
        <v>0</v>
      </c>
      <c r="AM22" s="436">
        <v>0</v>
      </c>
      <c r="AN22" s="436">
        <v>0</v>
      </c>
      <c r="AO22" s="934"/>
      <c r="AP22" s="931" t="s">
        <v>605</v>
      </c>
      <c r="AQ22" s="932"/>
      <c r="AR22" s="436">
        <v>0</v>
      </c>
      <c r="AS22" s="436">
        <v>0</v>
      </c>
      <c r="AT22" s="205">
        <v>1393196</v>
      </c>
      <c r="AU22" s="436"/>
      <c r="AV22" s="436"/>
      <c r="AW22" s="436"/>
      <c r="AX22" s="205">
        <v>0</v>
      </c>
      <c r="AY22" s="436">
        <v>0</v>
      </c>
      <c r="AZ22" s="436">
        <v>0</v>
      </c>
      <c r="BA22" s="436">
        <v>0</v>
      </c>
      <c r="BB22" s="436">
        <v>0</v>
      </c>
      <c r="BC22" s="436">
        <v>0</v>
      </c>
      <c r="BD22" s="436">
        <v>38201</v>
      </c>
      <c r="BE22" s="436">
        <v>0</v>
      </c>
      <c r="BF22" s="436">
        <v>756704</v>
      </c>
      <c r="BG22" s="205">
        <v>97162</v>
      </c>
      <c r="BH22" s="436">
        <v>0</v>
      </c>
      <c r="BI22" s="934"/>
      <c r="BJ22" s="931" t="s">
        <v>605</v>
      </c>
      <c r="BK22" s="932"/>
      <c r="BL22" s="436">
        <v>0</v>
      </c>
      <c r="BM22" s="436">
        <v>0</v>
      </c>
      <c r="BN22" s="436">
        <v>0</v>
      </c>
      <c r="BO22" s="205">
        <v>0</v>
      </c>
      <c r="BP22" s="205">
        <v>0</v>
      </c>
      <c r="BQ22" s="205">
        <v>0</v>
      </c>
      <c r="BR22" s="436">
        <v>0</v>
      </c>
      <c r="BS22" s="436">
        <v>0</v>
      </c>
      <c r="BT22" s="436">
        <v>0</v>
      </c>
      <c r="BU22" s="436">
        <v>0</v>
      </c>
      <c r="BV22" s="189">
        <f t="shared" si="0"/>
        <v>2693348</v>
      </c>
      <c r="BY22" s="435"/>
    </row>
    <row r="23" spans="1:77" ht="11.25" customHeight="1">
      <c r="A23" s="934"/>
      <c r="B23" s="931" t="s">
        <v>606</v>
      </c>
      <c r="C23" s="932"/>
      <c r="D23" s="205">
        <v>8648</v>
      </c>
      <c r="E23" s="205">
        <v>5764</v>
      </c>
      <c r="F23" s="205">
        <v>82953</v>
      </c>
      <c r="G23" s="205">
        <v>23059</v>
      </c>
      <c r="H23" s="205">
        <v>48734</v>
      </c>
      <c r="I23" s="205">
        <v>301167</v>
      </c>
      <c r="J23" s="205">
        <v>0</v>
      </c>
      <c r="K23" s="205">
        <v>113379</v>
      </c>
      <c r="L23" s="205">
        <v>96873</v>
      </c>
      <c r="M23" s="205">
        <v>28800</v>
      </c>
      <c r="N23" s="436">
        <v>147264</v>
      </c>
      <c r="O23" s="205">
        <v>189542</v>
      </c>
      <c r="P23" s="205">
        <v>221795</v>
      </c>
      <c r="Q23" s="205">
        <v>21308</v>
      </c>
      <c r="R23" s="205">
        <v>51566</v>
      </c>
      <c r="S23" s="205">
        <v>15647</v>
      </c>
      <c r="T23" s="205">
        <v>0</v>
      </c>
      <c r="U23" s="934"/>
      <c r="V23" s="931" t="s">
        <v>606</v>
      </c>
      <c r="W23" s="932"/>
      <c r="X23" s="205">
        <v>22181</v>
      </c>
      <c r="Y23" s="205">
        <v>0</v>
      </c>
      <c r="Z23" s="205">
        <v>4000</v>
      </c>
      <c r="AA23" s="205">
        <v>2550</v>
      </c>
      <c r="AB23" s="205">
        <v>145593</v>
      </c>
      <c r="AC23" s="205">
        <v>112602</v>
      </c>
      <c r="AD23" s="205">
        <v>35422</v>
      </c>
      <c r="AE23" s="205">
        <v>9608</v>
      </c>
      <c r="AF23" s="205">
        <v>17703</v>
      </c>
      <c r="AG23" s="205">
        <v>9013</v>
      </c>
      <c r="AH23" s="205">
        <v>30830</v>
      </c>
      <c r="AI23" s="205">
        <v>15056</v>
      </c>
      <c r="AJ23" s="205">
        <v>88642</v>
      </c>
      <c r="AK23" s="205">
        <v>33515</v>
      </c>
      <c r="AL23" s="205">
        <v>27289</v>
      </c>
      <c r="AM23" s="436">
        <v>18672</v>
      </c>
      <c r="AN23" s="436">
        <v>5967</v>
      </c>
      <c r="AO23" s="934"/>
      <c r="AP23" s="931" t="s">
        <v>606</v>
      </c>
      <c r="AQ23" s="932"/>
      <c r="AR23" s="436">
        <v>24677</v>
      </c>
      <c r="AS23" s="436">
        <v>20769</v>
      </c>
      <c r="AT23" s="205">
        <v>192663</v>
      </c>
      <c r="AU23" s="436"/>
      <c r="AV23" s="436"/>
      <c r="AW23" s="436"/>
      <c r="AX23" s="205">
        <v>66783</v>
      </c>
      <c r="AY23" s="436">
        <v>243597</v>
      </c>
      <c r="AZ23" s="436">
        <v>14136</v>
      </c>
      <c r="BA23" s="436">
        <v>16579</v>
      </c>
      <c r="BB23" s="436">
        <v>17726</v>
      </c>
      <c r="BC23" s="436">
        <v>6331</v>
      </c>
      <c r="BD23" s="436">
        <v>37105</v>
      </c>
      <c r="BE23" s="436">
        <v>537476</v>
      </c>
      <c r="BF23" s="436">
        <v>738011</v>
      </c>
      <c r="BG23" s="205">
        <v>113376</v>
      </c>
      <c r="BH23" s="436">
        <v>13033</v>
      </c>
      <c r="BI23" s="934"/>
      <c r="BJ23" s="931" t="s">
        <v>606</v>
      </c>
      <c r="BK23" s="932"/>
      <c r="BL23" s="436">
        <v>0</v>
      </c>
      <c r="BM23" s="436">
        <v>0</v>
      </c>
      <c r="BN23" s="436">
        <v>38231</v>
      </c>
      <c r="BO23" s="205">
        <v>9718</v>
      </c>
      <c r="BP23" s="205">
        <v>5370</v>
      </c>
      <c r="BQ23" s="205">
        <v>96870</v>
      </c>
      <c r="BR23" s="436">
        <v>80315</v>
      </c>
      <c r="BS23" s="436">
        <v>24128</v>
      </c>
      <c r="BT23" s="436">
        <v>0</v>
      </c>
      <c r="BU23" s="436">
        <v>12648</v>
      </c>
      <c r="BV23" s="189">
        <f t="shared" si="0"/>
        <v>4244684</v>
      </c>
      <c r="BY23" s="435"/>
    </row>
    <row r="24" spans="1:77" ht="11.25" customHeight="1">
      <c r="A24" s="934"/>
      <c r="B24" s="931" t="s">
        <v>607</v>
      </c>
      <c r="C24" s="932"/>
      <c r="D24" s="205">
        <v>0</v>
      </c>
      <c r="E24" s="205">
        <v>0</v>
      </c>
      <c r="F24" s="205">
        <v>0</v>
      </c>
      <c r="G24" s="205">
        <v>0</v>
      </c>
      <c r="H24" s="205">
        <v>0</v>
      </c>
      <c r="I24" s="205">
        <v>0</v>
      </c>
      <c r="J24" s="205">
        <v>16695</v>
      </c>
      <c r="K24" s="205">
        <v>50378</v>
      </c>
      <c r="L24" s="205">
        <v>0</v>
      </c>
      <c r="M24" s="205">
        <v>0</v>
      </c>
      <c r="N24" s="436">
        <v>0</v>
      </c>
      <c r="O24" s="205">
        <v>0</v>
      </c>
      <c r="P24" s="205">
        <v>0</v>
      </c>
      <c r="Q24" s="205">
        <v>0</v>
      </c>
      <c r="R24" s="205">
        <v>0</v>
      </c>
      <c r="S24" s="205">
        <v>0</v>
      </c>
      <c r="T24" s="205">
        <v>0</v>
      </c>
      <c r="U24" s="934"/>
      <c r="V24" s="931" t="s">
        <v>607</v>
      </c>
      <c r="W24" s="932"/>
      <c r="X24" s="205">
        <v>24343</v>
      </c>
      <c r="Y24" s="205">
        <v>10149</v>
      </c>
      <c r="Z24" s="205">
        <v>4000</v>
      </c>
      <c r="AA24" s="205">
        <v>22141</v>
      </c>
      <c r="AB24" s="205">
        <v>0</v>
      </c>
      <c r="AC24" s="205">
        <v>0</v>
      </c>
      <c r="AD24" s="205">
        <v>0</v>
      </c>
      <c r="AE24" s="205">
        <v>0</v>
      </c>
      <c r="AF24" s="205">
        <v>0</v>
      </c>
      <c r="AG24" s="205">
        <v>0</v>
      </c>
      <c r="AH24" s="205">
        <v>0</v>
      </c>
      <c r="AI24" s="205">
        <v>0</v>
      </c>
      <c r="AJ24" s="205">
        <v>122900</v>
      </c>
      <c r="AK24" s="205">
        <v>0</v>
      </c>
      <c r="AL24" s="205">
        <v>0</v>
      </c>
      <c r="AM24" s="436">
        <v>0</v>
      </c>
      <c r="AN24" s="436">
        <v>0</v>
      </c>
      <c r="AO24" s="934"/>
      <c r="AP24" s="931" t="s">
        <v>607</v>
      </c>
      <c r="AQ24" s="932"/>
      <c r="AR24" s="436">
        <v>0</v>
      </c>
      <c r="AS24" s="436">
        <v>0</v>
      </c>
      <c r="AT24" s="205">
        <v>475311</v>
      </c>
      <c r="AU24" s="436"/>
      <c r="AV24" s="436"/>
      <c r="AW24" s="436"/>
      <c r="AX24" s="205">
        <v>0</v>
      </c>
      <c r="AY24" s="436">
        <v>0</v>
      </c>
      <c r="AZ24" s="436">
        <v>0</v>
      </c>
      <c r="BA24" s="436">
        <v>24481</v>
      </c>
      <c r="BB24" s="436">
        <v>0</v>
      </c>
      <c r="BC24" s="436">
        <v>0</v>
      </c>
      <c r="BD24" s="436">
        <v>4117</v>
      </c>
      <c r="BE24" s="436">
        <v>0</v>
      </c>
      <c r="BF24" s="436">
        <v>87133</v>
      </c>
      <c r="BG24" s="205">
        <v>0</v>
      </c>
      <c r="BH24" s="436">
        <v>0</v>
      </c>
      <c r="BI24" s="934"/>
      <c r="BJ24" s="931" t="s">
        <v>607</v>
      </c>
      <c r="BK24" s="932"/>
      <c r="BL24" s="436">
        <v>0</v>
      </c>
      <c r="BM24" s="436">
        <v>0</v>
      </c>
      <c r="BN24" s="436">
        <v>0</v>
      </c>
      <c r="BO24" s="205">
        <v>0</v>
      </c>
      <c r="BP24" s="205">
        <v>0</v>
      </c>
      <c r="BQ24" s="205">
        <v>0</v>
      </c>
      <c r="BR24" s="436">
        <v>0</v>
      </c>
      <c r="BS24" s="436">
        <v>0</v>
      </c>
      <c r="BT24" s="436">
        <v>0</v>
      </c>
      <c r="BU24" s="436">
        <v>0</v>
      </c>
      <c r="BV24" s="189">
        <f t="shared" si="0"/>
        <v>841648</v>
      </c>
      <c r="BY24" s="435"/>
    </row>
    <row r="25" spans="1:77" ht="11.25" customHeight="1">
      <c r="A25" s="934"/>
      <c r="B25" s="931" t="s">
        <v>608</v>
      </c>
      <c r="C25" s="932"/>
      <c r="D25" s="205">
        <v>0</v>
      </c>
      <c r="E25" s="205">
        <v>1098</v>
      </c>
      <c r="F25" s="205">
        <v>10635</v>
      </c>
      <c r="G25" s="205">
        <v>0</v>
      </c>
      <c r="H25" s="205">
        <v>4567</v>
      </c>
      <c r="I25" s="205">
        <v>24499</v>
      </c>
      <c r="J25" s="205">
        <v>0</v>
      </c>
      <c r="K25" s="205">
        <v>27</v>
      </c>
      <c r="L25" s="205">
        <v>2176</v>
      </c>
      <c r="M25" s="205">
        <v>0</v>
      </c>
      <c r="N25" s="436">
        <v>0</v>
      </c>
      <c r="O25" s="205">
        <v>4236</v>
      </c>
      <c r="P25" s="205">
        <v>887</v>
      </c>
      <c r="Q25" s="205">
        <v>6966</v>
      </c>
      <c r="R25" s="205">
        <v>0</v>
      </c>
      <c r="S25" s="205">
        <v>0</v>
      </c>
      <c r="T25" s="205">
        <v>0</v>
      </c>
      <c r="U25" s="934"/>
      <c r="V25" s="931" t="s">
        <v>608</v>
      </c>
      <c r="W25" s="932"/>
      <c r="X25" s="205">
        <v>0</v>
      </c>
      <c r="Y25" s="205">
        <v>114</v>
      </c>
      <c r="Z25" s="205">
        <v>20000</v>
      </c>
      <c r="AA25" s="205">
        <v>3694</v>
      </c>
      <c r="AB25" s="205">
        <v>0</v>
      </c>
      <c r="AC25" s="205">
        <v>0</v>
      </c>
      <c r="AD25" s="205">
        <v>0</v>
      </c>
      <c r="AE25" s="205">
        <v>6957</v>
      </c>
      <c r="AF25" s="205">
        <v>0</v>
      </c>
      <c r="AG25" s="205">
        <v>0</v>
      </c>
      <c r="AH25" s="205">
        <v>0</v>
      </c>
      <c r="AI25" s="205">
        <v>0</v>
      </c>
      <c r="AJ25" s="205">
        <v>6169</v>
      </c>
      <c r="AK25" s="205">
        <v>0</v>
      </c>
      <c r="AL25" s="205">
        <v>436</v>
      </c>
      <c r="AM25" s="436">
        <v>0</v>
      </c>
      <c r="AN25" s="436">
        <v>22030</v>
      </c>
      <c r="AO25" s="934"/>
      <c r="AP25" s="931" t="s">
        <v>608</v>
      </c>
      <c r="AQ25" s="932"/>
      <c r="AR25" s="436">
        <v>1851</v>
      </c>
      <c r="AS25" s="436">
        <v>0</v>
      </c>
      <c r="AT25" s="205">
        <v>12907</v>
      </c>
      <c r="AU25" s="436"/>
      <c r="AV25" s="436"/>
      <c r="AW25" s="436"/>
      <c r="AX25" s="205">
        <v>1746</v>
      </c>
      <c r="AY25" s="436">
        <v>5554</v>
      </c>
      <c r="AZ25" s="436">
        <v>0</v>
      </c>
      <c r="BA25" s="436">
        <v>0</v>
      </c>
      <c r="BB25" s="436">
        <v>2357</v>
      </c>
      <c r="BC25" s="436">
        <v>0</v>
      </c>
      <c r="BD25" s="436">
        <v>0</v>
      </c>
      <c r="BE25" s="436">
        <v>0</v>
      </c>
      <c r="BF25" s="436">
        <v>0</v>
      </c>
      <c r="BG25" s="205">
        <v>0</v>
      </c>
      <c r="BH25" s="436">
        <v>0</v>
      </c>
      <c r="BI25" s="934"/>
      <c r="BJ25" s="931" t="s">
        <v>608</v>
      </c>
      <c r="BK25" s="932"/>
      <c r="BL25" s="436">
        <v>3039</v>
      </c>
      <c r="BM25" s="436">
        <v>0</v>
      </c>
      <c r="BN25" s="436">
        <v>658</v>
      </c>
      <c r="BO25" s="205">
        <v>0</v>
      </c>
      <c r="BP25" s="205">
        <v>0</v>
      </c>
      <c r="BQ25" s="205">
        <v>3636</v>
      </c>
      <c r="BR25" s="436">
        <v>0</v>
      </c>
      <c r="BS25" s="436">
        <v>2497</v>
      </c>
      <c r="BT25" s="436">
        <v>0</v>
      </c>
      <c r="BU25" s="436">
        <v>0</v>
      </c>
      <c r="BV25" s="189">
        <f t="shared" si="0"/>
        <v>148736</v>
      </c>
      <c r="BY25" s="435"/>
    </row>
    <row r="26" spans="1:77" ht="11.25" customHeight="1">
      <c r="A26" s="934"/>
      <c r="B26" s="931" t="s">
        <v>609</v>
      </c>
      <c r="C26" s="932"/>
      <c r="D26" s="205">
        <v>0</v>
      </c>
      <c r="E26" s="205">
        <v>0</v>
      </c>
      <c r="F26" s="205">
        <v>0</v>
      </c>
      <c r="G26" s="205">
        <v>0</v>
      </c>
      <c r="H26" s="205">
        <v>0</v>
      </c>
      <c r="I26" s="205">
        <v>132287</v>
      </c>
      <c r="J26" s="205">
        <v>0</v>
      </c>
      <c r="K26" s="205">
        <v>143984</v>
      </c>
      <c r="L26" s="205">
        <v>0</v>
      </c>
      <c r="M26" s="205">
        <v>0</v>
      </c>
      <c r="N26" s="436">
        <v>0</v>
      </c>
      <c r="O26" s="205">
        <v>31515</v>
      </c>
      <c r="P26" s="205">
        <v>76915</v>
      </c>
      <c r="Q26" s="205">
        <v>4320</v>
      </c>
      <c r="R26" s="205">
        <v>0</v>
      </c>
      <c r="S26" s="205">
        <v>0</v>
      </c>
      <c r="T26" s="205">
        <v>4247</v>
      </c>
      <c r="U26" s="934"/>
      <c r="V26" s="931" t="s">
        <v>609</v>
      </c>
      <c r="W26" s="932"/>
      <c r="X26" s="205">
        <v>3144</v>
      </c>
      <c r="Y26" s="205">
        <v>1154</v>
      </c>
      <c r="Z26" s="205">
        <v>1000</v>
      </c>
      <c r="AA26" s="205">
        <v>1006</v>
      </c>
      <c r="AB26" s="205">
        <v>49560</v>
      </c>
      <c r="AC26" s="205">
        <v>21691</v>
      </c>
      <c r="AD26" s="205">
        <v>0</v>
      </c>
      <c r="AE26" s="205">
        <v>0</v>
      </c>
      <c r="AF26" s="205">
        <v>0</v>
      </c>
      <c r="AG26" s="205">
        <v>0</v>
      </c>
      <c r="AH26" s="205">
        <v>0</v>
      </c>
      <c r="AI26" s="205">
        <v>0</v>
      </c>
      <c r="AJ26" s="205">
        <v>0</v>
      </c>
      <c r="AK26" s="205">
        <v>0</v>
      </c>
      <c r="AL26" s="205">
        <v>0</v>
      </c>
      <c r="AM26" s="436">
        <v>0</v>
      </c>
      <c r="AN26" s="436">
        <v>0</v>
      </c>
      <c r="AO26" s="934"/>
      <c r="AP26" s="931" t="s">
        <v>609</v>
      </c>
      <c r="AQ26" s="932"/>
      <c r="AR26" s="436">
        <v>0</v>
      </c>
      <c r="AS26" s="436">
        <v>0</v>
      </c>
      <c r="AT26" s="205">
        <v>270639</v>
      </c>
      <c r="AU26" s="436"/>
      <c r="AV26" s="436"/>
      <c r="AW26" s="436"/>
      <c r="AX26" s="205">
        <v>168749</v>
      </c>
      <c r="AY26" s="436">
        <v>0</v>
      </c>
      <c r="AZ26" s="436">
        <v>0</v>
      </c>
      <c r="BA26" s="436">
        <v>37464</v>
      </c>
      <c r="BB26" s="436">
        <v>0</v>
      </c>
      <c r="BC26" s="436">
        <v>2654</v>
      </c>
      <c r="BD26" s="436">
        <v>0</v>
      </c>
      <c r="BE26" s="436">
        <v>0</v>
      </c>
      <c r="BF26" s="436">
        <v>182050</v>
      </c>
      <c r="BG26" s="205">
        <v>0</v>
      </c>
      <c r="BH26" s="436">
        <v>0</v>
      </c>
      <c r="BI26" s="934"/>
      <c r="BJ26" s="931" t="s">
        <v>609</v>
      </c>
      <c r="BK26" s="932"/>
      <c r="BL26" s="436">
        <v>0</v>
      </c>
      <c r="BM26" s="436">
        <v>0</v>
      </c>
      <c r="BN26" s="436">
        <v>0</v>
      </c>
      <c r="BO26" s="205">
        <v>0</v>
      </c>
      <c r="BP26" s="205">
        <v>0</v>
      </c>
      <c r="BQ26" s="205">
        <v>0</v>
      </c>
      <c r="BR26" s="436">
        <v>0</v>
      </c>
      <c r="BS26" s="436">
        <v>0</v>
      </c>
      <c r="BT26" s="436">
        <v>0</v>
      </c>
      <c r="BU26" s="436">
        <v>0</v>
      </c>
      <c r="BV26" s="189">
        <f t="shared" si="0"/>
        <v>1132379</v>
      </c>
      <c r="BY26" s="435"/>
    </row>
    <row r="27" spans="1:77" ht="11.25" customHeight="1">
      <c r="A27" s="934"/>
      <c r="B27" s="931" t="s">
        <v>610</v>
      </c>
      <c r="C27" s="932"/>
      <c r="D27" s="205">
        <v>401181</v>
      </c>
      <c r="E27" s="205">
        <v>20571</v>
      </c>
      <c r="F27" s="205">
        <v>79533</v>
      </c>
      <c r="G27" s="205">
        <v>35177</v>
      </c>
      <c r="H27" s="205">
        <v>25500</v>
      </c>
      <c r="I27" s="205">
        <v>283551</v>
      </c>
      <c r="J27" s="205">
        <v>0</v>
      </c>
      <c r="K27" s="205">
        <v>343300</v>
      </c>
      <c r="L27" s="205">
        <v>34496</v>
      </c>
      <c r="M27" s="205">
        <v>22267</v>
      </c>
      <c r="N27" s="436">
        <v>62766</v>
      </c>
      <c r="O27" s="205">
        <v>75008</v>
      </c>
      <c r="P27" s="205">
        <v>78877</v>
      </c>
      <c r="Q27" s="205">
        <v>19321</v>
      </c>
      <c r="R27" s="205">
        <v>65852</v>
      </c>
      <c r="S27" s="205">
        <v>34908</v>
      </c>
      <c r="T27" s="205">
        <v>0</v>
      </c>
      <c r="U27" s="934"/>
      <c r="V27" s="931" t="s">
        <v>610</v>
      </c>
      <c r="W27" s="932"/>
      <c r="X27" s="205">
        <v>7195</v>
      </c>
      <c r="Y27" s="205">
        <v>5696</v>
      </c>
      <c r="Z27" s="205">
        <v>28400</v>
      </c>
      <c r="AA27" s="205">
        <v>0</v>
      </c>
      <c r="AB27" s="205">
        <v>49029</v>
      </c>
      <c r="AC27" s="205">
        <v>29377</v>
      </c>
      <c r="AD27" s="205">
        <v>44392</v>
      </c>
      <c r="AE27" s="205">
        <v>60336</v>
      </c>
      <c r="AF27" s="205">
        <v>27277</v>
      </c>
      <c r="AG27" s="205">
        <v>53352</v>
      </c>
      <c r="AH27" s="205">
        <v>16604</v>
      </c>
      <c r="AI27" s="205">
        <v>22803</v>
      </c>
      <c r="AJ27" s="205">
        <v>169542</v>
      </c>
      <c r="AK27" s="205">
        <v>28525</v>
      </c>
      <c r="AL27" s="205">
        <v>23999</v>
      </c>
      <c r="AM27" s="436">
        <v>18967</v>
      </c>
      <c r="AN27" s="436">
        <v>17513</v>
      </c>
      <c r="AO27" s="934"/>
      <c r="AP27" s="931" t="s">
        <v>610</v>
      </c>
      <c r="AQ27" s="932"/>
      <c r="AR27" s="436">
        <v>21628</v>
      </c>
      <c r="AS27" s="436">
        <v>9195</v>
      </c>
      <c r="AT27" s="205">
        <v>215361</v>
      </c>
      <c r="AU27" s="436"/>
      <c r="AV27" s="436"/>
      <c r="AW27" s="436"/>
      <c r="AX27" s="205">
        <v>46999</v>
      </c>
      <c r="AY27" s="436">
        <v>153709</v>
      </c>
      <c r="AZ27" s="436">
        <v>31152</v>
      </c>
      <c r="BA27" s="436">
        <v>29140</v>
      </c>
      <c r="BB27" s="436">
        <v>26391</v>
      </c>
      <c r="BC27" s="436">
        <v>22368</v>
      </c>
      <c r="BD27" s="436">
        <v>32505</v>
      </c>
      <c r="BE27" s="436">
        <v>382339</v>
      </c>
      <c r="BF27" s="436">
        <v>180922</v>
      </c>
      <c r="BG27" s="205">
        <v>117144</v>
      </c>
      <c r="BH27" s="436">
        <v>20955</v>
      </c>
      <c r="BI27" s="934"/>
      <c r="BJ27" s="931" t="s">
        <v>610</v>
      </c>
      <c r="BK27" s="932"/>
      <c r="BL27" s="436">
        <v>18575</v>
      </c>
      <c r="BM27" s="436">
        <v>34634</v>
      </c>
      <c r="BN27" s="436">
        <v>22413</v>
      </c>
      <c r="BO27" s="205">
        <v>18788</v>
      </c>
      <c r="BP27" s="205">
        <v>12904</v>
      </c>
      <c r="BQ27" s="205">
        <v>81958</v>
      </c>
      <c r="BR27" s="436">
        <v>35278</v>
      </c>
      <c r="BS27" s="436">
        <v>20057</v>
      </c>
      <c r="BT27" s="436">
        <v>13466</v>
      </c>
      <c r="BU27" s="436">
        <v>12498</v>
      </c>
      <c r="BV27" s="189">
        <f t="shared" si="0"/>
        <v>3745694</v>
      </c>
      <c r="BY27" s="435"/>
    </row>
    <row r="28" spans="1:77" ht="11.25" customHeight="1">
      <c r="A28" s="934"/>
      <c r="B28" s="931" t="s">
        <v>611</v>
      </c>
      <c r="C28" s="932"/>
      <c r="D28" s="205">
        <v>278694</v>
      </c>
      <c r="E28" s="205">
        <v>51531</v>
      </c>
      <c r="F28" s="205">
        <v>222810</v>
      </c>
      <c r="G28" s="205">
        <v>64182</v>
      </c>
      <c r="H28" s="205">
        <v>152092</v>
      </c>
      <c r="I28" s="205">
        <v>1150145</v>
      </c>
      <c r="J28" s="205">
        <v>0</v>
      </c>
      <c r="K28" s="205">
        <v>1129361</v>
      </c>
      <c r="L28" s="205">
        <v>289637</v>
      </c>
      <c r="M28" s="205">
        <v>171462</v>
      </c>
      <c r="N28" s="436">
        <v>346998</v>
      </c>
      <c r="O28" s="205">
        <v>342362</v>
      </c>
      <c r="P28" s="205">
        <v>493384</v>
      </c>
      <c r="Q28" s="205">
        <v>126915</v>
      </c>
      <c r="R28" s="205">
        <v>328097</v>
      </c>
      <c r="S28" s="205">
        <v>65579</v>
      </c>
      <c r="T28" s="205">
        <v>2388</v>
      </c>
      <c r="U28" s="934"/>
      <c r="V28" s="931" t="s">
        <v>611</v>
      </c>
      <c r="W28" s="932"/>
      <c r="X28" s="205">
        <v>543</v>
      </c>
      <c r="Y28" s="205">
        <v>14969</v>
      </c>
      <c r="Z28" s="205">
        <v>0</v>
      </c>
      <c r="AA28" s="205">
        <v>5000</v>
      </c>
      <c r="AB28" s="205">
        <v>708336</v>
      </c>
      <c r="AC28" s="205">
        <v>287034</v>
      </c>
      <c r="AD28" s="205">
        <v>191172</v>
      </c>
      <c r="AE28" s="205">
        <v>198689</v>
      </c>
      <c r="AF28" s="205">
        <v>111419</v>
      </c>
      <c r="AG28" s="205">
        <v>79314</v>
      </c>
      <c r="AH28" s="205">
        <v>50066</v>
      </c>
      <c r="AI28" s="205">
        <v>45598</v>
      </c>
      <c r="AJ28" s="205">
        <v>841019</v>
      </c>
      <c r="AK28" s="205">
        <v>146324</v>
      </c>
      <c r="AL28" s="205">
        <v>66887</v>
      </c>
      <c r="AM28" s="436">
        <v>117811</v>
      </c>
      <c r="AN28" s="436">
        <v>89483</v>
      </c>
      <c r="AO28" s="934"/>
      <c r="AP28" s="931" t="s">
        <v>611</v>
      </c>
      <c r="AQ28" s="932"/>
      <c r="AR28" s="436">
        <v>61977</v>
      </c>
      <c r="AS28" s="436">
        <v>97773</v>
      </c>
      <c r="AT28" s="205">
        <v>1989882</v>
      </c>
      <c r="AU28" s="436"/>
      <c r="AV28" s="436"/>
      <c r="AW28" s="436"/>
      <c r="AX28" s="205">
        <v>692918</v>
      </c>
      <c r="AY28" s="436">
        <v>1048202</v>
      </c>
      <c r="AZ28" s="436">
        <v>62894</v>
      </c>
      <c r="BA28" s="436">
        <v>243946</v>
      </c>
      <c r="BB28" s="436">
        <v>89909</v>
      </c>
      <c r="BC28" s="436">
        <v>85624</v>
      </c>
      <c r="BD28" s="436">
        <v>104254</v>
      </c>
      <c r="BE28" s="436">
        <v>1708989</v>
      </c>
      <c r="BF28" s="436">
        <v>2796151</v>
      </c>
      <c r="BG28" s="205">
        <v>482534</v>
      </c>
      <c r="BH28" s="436">
        <v>70340</v>
      </c>
      <c r="BI28" s="934"/>
      <c r="BJ28" s="931" t="s">
        <v>611</v>
      </c>
      <c r="BK28" s="932"/>
      <c r="BL28" s="436">
        <v>54859</v>
      </c>
      <c r="BM28" s="436">
        <v>53276</v>
      </c>
      <c r="BN28" s="436">
        <v>81070</v>
      </c>
      <c r="BO28" s="205">
        <v>104546</v>
      </c>
      <c r="BP28" s="205">
        <v>65024</v>
      </c>
      <c r="BQ28" s="205">
        <v>424136</v>
      </c>
      <c r="BR28" s="436">
        <v>304628</v>
      </c>
      <c r="BS28" s="436">
        <v>154067</v>
      </c>
      <c r="BT28" s="436">
        <v>35200</v>
      </c>
      <c r="BU28" s="436">
        <v>25023</v>
      </c>
      <c r="BV28" s="189">
        <f t="shared" si="0"/>
        <v>19006523</v>
      </c>
      <c r="BY28" s="435"/>
    </row>
    <row r="29" spans="1:77" ht="11.25" customHeight="1">
      <c r="A29" s="934"/>
      <c r="B29" s="931" t="s">
        <v>612</v>
      </c>
      <c r="C29" s="932"/>
      <c r="D29" s="205">
        <v>1535</v>
      </c>
      <c r="E29" s="205">
        <v>2122</v>
      </c>
      <c r="F29" s="205">
        <v>1813</v>
      </c>
      <c r="G29" s="205">
        <v>0</v>
      </c>
      <c r="H29" s="205">
        <v>8879</v>
      </c>
      <c r="I29" s="205">
        <v>62954</v>
      </c>
      <c r="J29" s="205">
        <v>0</v>
      </c>
      <c r="K29" s="205">
        <v>21913</v>
      </c>
      <c r="L29" s="205">
        <v>3082</v>
      </c>
      <c r="M29" s="205">
        <v>405</v>
      </c>
      <c r="N29" s="436">
        <v>9350</v>
      </c>
      <c r="O29" s="205">
        <v>16397</v>
      </c>
      <c r="P29" s="205">
        <v>5584</v>
      </c>
      <c r="Q29" s="205">
        <v>8951</v>
      </c>
      <c r="R29" s="205">
        <v>10262</v>
      </c>
      <c r="S29" s="205">
        <v>0</v>
      </c>
      <c r="T29" s="205">
        <v>0</v>
      </c>
      <c r="U29" s="934"/>
      <c r="V29" s="931" t="s">
        <v>612</v>
      </c>
      <c r="W29" s="932"/>
      <c r="X29" s="205">
        <v>0</v>
      </c>
      <c r="Y29" s="205">
        <v>0</v>
      </c>
      <c r="Z29" s="205">
        <v>0</v>
      </c>
      <c r="AA29" s="205">
        <v>0</v>
      </c>
      <c r="AB29" s="205">
        <v>7169</v>
      </c>
      <c r="AC29" s="205">
        <v>4799</v>
      </c>
      <c r="AD29" s="205">
        <v>9408</v>
      </c>
      <c r="AE29" s="205">
        <v>1958</v>
      </c>
      <c r="AF29" s="205">
        <v>225</v>
      </c>
      <c r="AG29" s="205">
        <v>2560</v>
      </c>
      <c r="AH29" s="205">
        <v>2381</v>
      </c>
      <c r="AI29" s="205">
        <v>2</v>
      </c>
      <c r="AJ29" s="205">
        <v>9506</v>
      </c>
      <c r="AK29" s="205">
        <v>7742</v>
      </c>
      <c r="AL29" s="205">
        <v>3501</v>
      </c>
      <c r="AM29" s="436">
        <v>0</v>
      </c>
      <c r="AN29" s="436">
        <v>0</v>
      </c>
      <c r="AO29" s="934"/>
      <c r="AP29" s="931" t="s">
        <v>612</v>
      </c>
      <c r="AQ29" s="932"/>
      <c r="AR29" s="436">
        <v>907</v>
      </c>
      <c r="AS29" s="436">
        <v>0</v>
      </c>
      <c r="AT29" s="205">
        <v>31271</v>
      </c>
      <c r="AU29" s="436"/>
      <c r="AV29" s="436"/>
      <c r="AW29" s="436"/>
      <c r="AX29" s="205">
        <v>6676</v>
      </c>
      <c r="AY29" s="436">
        <v>9373</v>
      </c>
      <c r="AZ29" s="436">
        <v>3282</v>
      </c>
      <c r="BA29" s="436">
        <v>1608</v>
      </c>
      <c r="BB29" s="436">
        <v>2580</v>
      </c>
      <c r="BC29" s="436">
        <v>515</v>
      </c>
      <c r="BD29" s="436">
        <v>5089</v>
      </c>
      <c r="BE29" s="436">
        <v>63161</v>
      </c>
      <c r="BF29" s="436">
        <v>90426</v>
      </c>
      <c r="BG29" s="205">
        <v>15596</v>
      </c>
      <c r="BH29" s="436">
        <v>20911</v>
      </c>
      <c r="BI29" s="934"/>
      <c r="BJ29" s="931" t="s">
        <v>612</v>
      </c>
      <c r="BK29" s="932"/>
      <c r="BL29" s="436">
        <v>385</v>
      </c>
      <c r="BM29" s="436">
        <v>239</v>
      </c>
      <c r="BN29" s="436">
        <v>202</v>
      </c>
      <c r="BO29" s="205">
        <v>3600</v>
      </c>
      <c r="BP29" s="205">
        <v>534</v>
      </c>
      <c r="BQ29" s="205">
        <v>23396</v>
      </c>
      <c r="BR29" s="436">
        <v>2458</v>
      </c>
      <c r="BS29" s="436">
        <v>302</v>
      </c>
      <c r="BT29" s="436">
        <v>102</v>
      </c>
      <c r="BU29" s="436">
        <v>772</v>
      </c>
      <c r="BV29" s="189">
        <f t="shared" si="0"/>
        <v>485883</v>
      </c>
      <c r="BY29" s="435"/>
    </row>
    <row r="30" spans="1:77" s="435" customFormat="1" ht="11.25" customHeight="1">
      <c r="A30" s="934"/>
      <c r="B30" s="931" t="s">
        <v>613</v>
      </c>
      <c r="C30" s="932"/>
      <c r="D30" s="191">
        <v>0</v>
      </c>
      <c r="E30" s="191">
        <v>0</v>
      </c>
      <c r="F30" s="191">
        <v>0</v>
      </c>
      <c r="G30" s="191">
        <v>0</v>
      </c>
      <c r="H30" s="191">
        <v>0</v>
      </c>
      <c r="I30" s="191">
        <v>0</v>
      </c>
      <c r="J30" s="191">
        <v>0</v>
      </c>
      <c r="K30" s="191">
        <v>1618</v>
      </c>
      <c r="L30" s="191">
        <v>40</v>
      </c>
      <c r="M30" s="191">
        <v>0</v>
      </c>
      <c r="N30" s="191">
        <v>0</v>
      </c>
      <c r="O30" s="191">
        <v>0</v>
      </c>
      <c r="P30" s="191">
        <v>0</v>
      </c>
      <c r="Q30" s="191">
        <v>125</v>
      </c>
      <c r="R30" s="191">
        <v>1461</v>
      </c>
      <c r="S30" s="191">
        <v>3789</v>
      </c>
      <c r="T30" s="191">
        <v>4017</v>
      </c>
      <c r="U30" s="934"/>
      <c r="V30" s="931" t="s">
        <v>613</v>
      </c>
      <c r="W30" s="932"/>
      <c r="X30" s="191">
        <v>0</v>
      </c>
      <c r="Y30" s="191">
        <v>18271</v>
      </c>
      <c r="Z30" s="191">
        <v>0</v>
      </c>
      <c r="AA30" s="191">
        <v>0</v>
      </c>
      <c r="AB30" s="191">
        <v>416</v>
      </c>
      <c r="AC30" s="191">
        <v>0</v>
      </c>
      <c r="AD30" s="191">
        <v>0</v>
      </c>
      <c r="AE30" s="191">
        <v>0</v>
      </c>
      <c r="AF30" s="191">
        <v>624</v>
      </c>
      <c r="AG30" s="191">
        <v>0</v>
      </c>
      <c r="AH30" s="191">
        <v>0</v>
      </c>
      <c r="AI30" s="191">
        <v>0</v>
      </c>
      <c r="AJ30" s="191">
        <v>0</v>
      </c>
      <c r="AK30" s="191">
        <v>0</v>
      </c>
      <c r="AL30" s="191">
        <v>169</v>
      </c>
      <c r="AM30" s="191">
        <v>0</v>
      </c>
      <c r="AN30" s="191">
        <v>0</v>
      </c>
      <c r="AO30" s="934"/>
      <c r="AP30" s="931" t="s">
        <v>613</v>
      </c>
      <c r="AQ30" s="932"/>
      <c r="AR30" s="191">
        <v>0</v>
      </c>
      <c r="AS30" s="191">
        <v>0</v>
      </c>
      <c r="AT30" s="191">
        <v>10046</v>
      </c>
      <c r="AU30" s="191"/>
      <c r="AV30" s="191"/>
      <c r="AW30" s="191"/>
      <c r="AX30" s="191">
        <v>0</v>
      </c>
      <c r="AY30" s="191">
        <v>3</v>
      </c>
      <c r="AZ30" s="191">
        <v>7155</v>
      </c>
      <c r="BA30" s="191">
        <v>1452</v>
      </c>
      <c r="BB30" s="191">
        <v>3</v>
      </c>
      <c r="BC30" s="191">
        <v>0</v>
      </c>
      <c r="BD30" s="191">
        <v>53</v>
      </c>
      <c r="BE30" s="191">
        <v>0</v>
      </c>
      <c r="BF30" s="191">
        <v>0</v>
      </c>
      <c r="BG30" s="191">
        <v>0</v>
      </c>
      <c r="BH30" s="191">
        <v>0</v>
      </c>
      <c r="BI30" s="934"/>
      <c r="BJ30" s="931" t="s">
        <v>613</v>
      </c>
      <c r="BK30" s="932"/>
      <c r="BL30" s="191">
        <v>4</v>
      </c>
      <c r="BM30" s="191">
        <v>0</v>
      </c>
      <c r="BN30" s="191">
        <v>237</v>
      </c>
      <c r="BO30" s="191">
        <v>0</v>
      </c>
      <c r="BP30" s="191">
        <v>0</v>
      </c>
      <c r="BQ30" s="191">
        <v>436</v>
      </c>
      <c r="BR30" s="191">
        <v>167</v>
      </c>
      <c r="BS30" s="191">
        <v>4</v>
      </c>
      <c r="BT30" s="191">
        <v>0</v>
      </c>
      <c r="BU30" s="191">
        <v>0</v>
      </c>
      <c r="BV30" s="189">
        <f t="shared" si="0"/>
        <v>50090</v>
      </c>
    </row>
    <row r="31" spans="1:77" ht="11.25" customHeight="1">
      <c r="A31" s="934"/>
      <c r="B31" s="931" t="s">
        <v>614</v>
      </c>
      <c r="C31" s="932"/>
      <c r="D31" s="205">
        <v>39795</v>
      </c>
      <c r="E31" s="205">
        <v>2484</v>
      </c>
      <c r="F31" s="205">
        <v>18536</v>
      </c>
      <c r="G31" s="205">
        <v>5575</v>
      </c>
      <c r="H31" s="205">
        <v>10597</v>
      </c>
      <c r="I31" s="205">
        <v>71936</v>
      </c>
      <c r="J31" s="205">
        <v>0</v>
      </c>
      <c r="K31" s="205">
        <v>130869</v>
      </c>
      <c r="L31" s="205">
        <v>44593</v>
      </c>
      <c r="M31" s="205">
        <v>23016</v>
      </c>
      <c r="N31" s="436">
        <v>52342</v>
      </c>
      <c r="O31" s="205">
        <v>21135</v>
      </c>
      <c r="P31" s="205">
        <v>12618</v>
      </c>
      <c r="Q31" s="205">
        <v>20423</v>
      </c>
      <c r="R31" s="205">
        <v>13030</v>
      </c>
      <c r="S31" s="205">
        <v>1066</v>
      </c>
      <c r="T31" s="205">
        <v>0</v>
      </c>
      <c r="U31" s="934"/>
      <c r="V31" s="931" t="s">
        <v>614</v>
      </c>
      <c r="W31" s="932"/>
      <c r="X31" s="205">
        <v>0</v>
      </c>
      <c r="Y31" s="205">
        <v>0</v>
      </c>
      <c r="Z31" s="205">
        <v>0</v>
      </c>
      <c r="AA31" s="205">
        <v>0</v>
      </c>
      <c r="AB31" s="205">
        <v>92433</v>
      </c>
      <c r="AC31" s="205">
        <v>20080</v>
      </c>
      <c r="AD31" s="205">
        <v>21851</v>
      </c>
      <c r="AE31" s="205">
        <v>28094</v>
      </c>
      <c r="AF31" s="205">
        <v>25672</v>
      </c>
      <c r="AG31" s="205">
        <v>3159</v>
      </c>
      <c r="AH31" s="205">
        <v>1397</v>
      </c>
      <c r="AI31" s="205">
        <v>4480</v>
      </c>
      <c r="AJ31" s="205">
        <v>121684</v>
      </c>
      <c r="AK31" s="205">
        <v>12671</v>
      </c>
      <c r="AL31" s="205">
        <v>22</v>
      </c>
      <c r="AM31" s="436">
        <v>12170</v>
      </c>
      <c r="AN31" s="436">
        <v>5469</v>
      </c>
      <c r="AO31" s="934"/>
      <c r="AP31" s="931" t="s">
        <v>614</v>
      </c>
      <c r="AQ31" s="932"/>
      <c r="AR31" s="436">
        <v>6186</v>
      </c>
      <c r="AS31" s="436">
        <v>19119</v>
      </c>
      <c r="AT31" s="205">
        <v>158101</v>
      </c>
      <c r="AU31" s="436"/>
      <c r="AV31" s="436"/>
      <c r="AW31" s="436"/>
      <c r="AX31" s="205">
        <v>89276</v>
      </c>
      <c r="AY31" s="436">
        <v>121924</v>
      </c>
      <c r="AZ31" s="436">
        <v>6170</v>
      </c>
      <c r="BA31" s="436">
        <v>28321</v>
      </c>
      <c r="BB31" s="436">
        <v>3147</v>
      </c>
      <c r="BC31" s="436">
        <v>16102</v>
      </c>
      <c r="BD31" s="436">
        <v>11321</v>
      </c>
      <c r="BE31" s="436">
        <v>300320</v>
      </c>
      <c r="BF31" s="436">
        <v>469082</v>
      </c>
      <c r="BG31" s="205">
        <v>54257</v>
      </c>
      <c r="BH31" s="436">
        <v>9291</v>
      </c>
      <c r="BI31" s="934"/>
      <c r="BJ31" s="931" t="s">
        <v>614</v>
      </c>
      <c r="BK31" s="932"/>
      <c r="BL31" s="436">
        <v>7113</v>
      </c>
      <c r="BM31" s="436">
        <v>5600</v>
      </c>
      <c r="BN31" s="436">
        <v>9311</v>
      </c>
      <c r="BO31" s="205">
        <v>11972</v>
      </c>
      <c r="BP31" s="205">
        <v>8006</v>
      </c>
      <c r="BQ31" s="205">
        <v>44583</v>
      </c>
      <c r="BR31" s="436">
        <v>34260</v>
      </c>
      <c r="BS31" s="436">
        <v>24148</v>
      </c>
      <c r="BT31" s="436">
        <v>2387</v>
      </c>
      <c r="BU31" s="436">
        <v>4446</v>
      </c>
      <c r="BV31" s="189">
        <f t="shared" si="0"/>
        <v>2261640</v>
      </c>
      <c r="BY31" s="435"/>
    </row>
    <row r="32" spans="1:77" ht="11.25" customHeight="1">
      <c r="A32" s="934"/>
      <c r="B32" s="931" t="s">
        <v>615</v>
      </c>
      <c r="C32" s="932"/>
      <c r="D32" s="205">
        <v>38305</v>
      </c>
      <c r="E32" s="205">
        <v>2484</v>
      </c>
      <c r="F32" s="205">
        <v>18433</v>
      </c>
      <c r="G32" s="205">
        <v>5552</v>
      </c>
      <c r="H32" s="205">
        <v>10597</v>
      </c>
      <c r="I32" s="205">
        <v>68761</v>
      </c>
      <c r="J32" s="205">
        <v>0</v>
      </c>
      <c r="K32" s="205">
        <v>126934</v>
      </c>
      <c r="L32" s="205">
        <v>44593</v>
      </c>
      <c r="M32" s="205">
        <v>22985</v>
      </c>
      <c r="N32" s="436">
        <v>29697</v>
      </c>
      <c r="O32" s="205">
        <v>20805</v>
      </c>
      <c r="P32" s="205">
        <v>8107</v>
      </c>
      <c r="Q32" s="205">
        <v>19288</v>
      </c>
      <c r="R32" s="205">
        <v>12955</v>
      </c>
      <c r="S32" s="205">
        <v>995</v>
      </c>
      <c r="T32" s="205">
        <v>0</v>
      </c>
      <c r="U32" s="934"/>
      <c r="V32" s="931" t="s">
        <v>615</v>
      </c>
      <c r="W32" s="932"/>
      <c r="X32" s="205">
        <v>0</v>
      </c>
      <c r="Y32" s="205">
        <v>0</v>
      </c>
      <c r="Z32" s="205">
        <v>0</v>
      </c>
      <c r="AA32" s="205">
        <v>0</v>
      </c>
      <c r="AB32" s="205">
        <v>89915</v>
      </c>
      <c r="AC32" s="205">
        <v>19910</v>
      </c>
      <c r="AD32" s="205">
        <v>21642</v>
      </c>
      <c r="AE32" s="205">
        <v>27121</v>
      </c>
      <c r="AF32" s="205">
        <v>25671</v>
      </c>
      <c r="AG32" s="205">
        <v>2906</v>
      </c>
      <c r="AH32" s="205">
        <v>648</v>
      </c>
      <c r="AI32" s="205">
        <v>4446</v>
      </c>
      <c r="AJ32" s="205">
        <v>120958</v>
      </c>
      <c r="AK32" s="205">
        <v>10585</v>
      </c>
      <c r="AL32" s="205">
        <v>0</v>
      </c>
      <c r="AM32" s="436">
        <v>12170</v>
      </c>
      <c r="AN32" s="436">
        <v>5464</v>
      </c>
      <c r="AO32" s="934"/>
      <c r="AP32" s="931" t="s">
        <v>615</v>
      </c>
      <c r="AQ32" s="932"/>
      <c r="AR32" s="436">
        <v>6040</v>
      </c>
      <c r="AS32" s="436">
        <v>19119</v>
      </c>
      <c r="AT32" s="205">
        <v>141464</v>
      </c>
      <c r="AU32" s="436"/>
      <c r="AV32" s="436"/>
      <c r="AW32" s="436"/>
      <c r="AX32" s="205">
        <v>86963</v>
      </c>
      <c r="AY32" s="436">
        <v>120284</v>
      </c>
      <c r="AZ32" s="436">
        <v>5997</v>
      </c>
      <c r="BA32" s="436">
        <v>28321</v>
      </c>
      <c r="BB32" s="436">
        <v>3147</v>
      </c>
      <c r="BC32" s="436">
        <v>16055</v>
      </c>
      <c r="BD32" s="436">
        <v>8913</v>
      </c>
      <c r="BE32" s="436">
        <v>294579</v>
      </c>
      <c r="BF32" s="436">
        <v>452154</v>
      </c>
      <c r="BG32" s="205">
        <v>46492</v>
      </c>
      <c r="BH32" s="436">
        <v>8871</v>
      </c>
      <c r="BI32" s="934"/>
      <c r="BJ32" s="931" t="s">
        <v>615</v>
      </c>
      <c r="BK32" s="932"/>
      <c r="BL32" s="436">
        <v>7113</v>
      </c>
      <c r="BM32" s="436">
        <v>5577</v>
      </c>
      <c r="BN32" s="436">
        <v>7059</v>
      </c>
      <c r="BO32" s="205">
        <v>11972</v>
      </c>
      <c r="BP32" s="205">
        <v>8006</v>
      </c>
      <c r="BQ32" s="205">
        <v>44554</v>
      </c>
      <c r="BR32" s="436">
        <v>31560</v>
      </c>
      <c r="BS32" s="436">
        <v>24148</v>
      </c>
      <c r="BT32" s="436">
        <v>2387</v>
      </c>
      <c r="BU32" s="436">
        <v>4446</v>
      </c>
      <c r="BV32" s="189">
        <f t="shared" si="0"/>
        <v>2157148</v>
      </c>
      <c r="BY32" s="435"/>
    </row>
    <row r="33" spans="1:77" ht="11.25" customHeight="1">
      <c r="A33" s="934"/>
      <c r="B33" s="931" t="s">
        <v>616</v>
      </c>
      <c r="C33" s="932"/>
      <c r="D33" s="205">
        <v>0</v>
      </c>
      <c r="E33" s="205">
        <v>0</v>
      </c>
      <c r="F33" s="205">
        <v>0</v>
      </c>
      <c r="G33" s="205">
        <v>0</v>
      </c>
      <c r="H33" s="205">
        <v>0</v>
      </c>
      <c r="I33" s="205">
        <v>0</v>
      </c>
      <c r="J33" s="205">
        <v>0</v>
      </c>
      <c r="K33" s="205">
        <v>0</v>
      </c>
      <c r="L33" s="205">
        <v>0</v>
      </c>
      <c r="M33" s="205">
        <v>0</v>
      </c>
      <c r="N33" s="436">
        <v>0</v>
      </c>
      <c r="O33" s="205">
        <v>0</v>
      </c>
      <c r="P33" s="205">
        <v>0</v>
      </c>
      <c r="Q33" s="205">
        <v>0</v>
      </c>
      <c r="R33" s="205">
        <v>0</v>
      </c>
      <c r="S33" s="205">
        <v>0</v>
      </c>
      <c r="T33" s="205">
        <v>0</v>
      </c>
      <c r="U33" s="934"/>
      <c r="V33" s="931" t="s">
        <v>616</v>
      </c>
      <c r="W33" s="932"/>
      <c r="X33" s="205">
        <v>0</v>
      </c>
      <c r="Y33" s="205">
        <v>0</v>
      </c>
      <c r="Z33" s="205">
        <v>0</v>
      </c>
      <c r="AA33" s="205">
        <v>0</v>
      </c>
      <c r="AB33" s="205">
        <v>0</v>
      </c>
      <c r="AC33" s="205">
        <v>0</v>
      </c>
      <c r="AD33" s="205">
        <v>0</v>
      </c>
      <c r="AE33" s="205">
        <v>0</v>
      </c>
      <c r="AF33" s="205">
        <v>0</v>
      </c>
      <c r="AG33" s="205">
        <v>0</v>
      </c>
      <c r="AH33" s="205">
        <v>0</v>
      </c>
      <c r="AI33" s="205">
        <v>0</v>
      </c>
      <c r="AJ33" s="205">
        <v>0</v>
      </c>
      <c r="AK33" s="205">
        <v>0</v>
      </c>
      <c r="AL33" s="205">
        <v>0</v>
      </c>
      <c r="AM33" s="436">
        <v>0</v>
      </c>
      <c r="AN33" s="436">
        <v>0</v>
      </c>
      <c r="AO33" s="934"/>
      <c r="AP33" s="931" t="s">
        <v>616</v>
      </c>
      <c r="AQ33" s="932"/>
      <c r="AR33" s="436">
        <v>0</v>
      </c>
      <c r="AS33" s="436">
        <v>0</v>
      </c>
      <c r="AT33" s="205">
        <v>0</v>
      </c>
      <c r="AU33" s="436"/>
      <c r="AV33" s="436"/>
      <c r="AW33" s="436"/>
      <c r="AX33" s="205">
        <v>42</v>
      </c>
      <c r="AY33" s="436">
        <v>0</v>
      </c>
      <c r="AZ33" s="436">
        <v>0</v>
      </c>
      <c r="BA33" s="436">
        <v>0</v>
      </c>
      <c r="BB33" s="436">
        <v>0</v>
      </c>
      <c r="BC33" s="436">
        <v>0</v>
      </c>
      <c r="BD33" s="436">
        <v>0</v>
      </c>
      <c r="BE33" s="436">
        <v>0</v>
      </c>
      <c r="BF33" s="436">
        <v>0</v>
      </c>
      <c r="BG33" s="205">
        <v>0</v>
      </c>
      <c r="BH33" s="436">
        <v>0</v>
      </c>
      <c r="BI33" s="934"/>
      <c r="BJ33" s="931" t="s">
        <v>616</v>
      </c>
      <c r="BK33" s="932"/>
      <c r="BL33" s="436">
        <v>0</v>
      </c>
      <c r="BM33" s="436">
        <v>0</v>
      </c>
      <c r="BN33" s="436">
        <v>0</v>
      </c>
      <c r="BO33" s="205">
        <v>0</v>
      </c>
      <c r="BP33" s="205">
        <v>0</v>
      </c>
      <c r="BQ33" s="205">
        <v>0</v>
      </c>
      <c r="BR33" s="436">
        <v>0</v>
      </c>
      <c r="BS33" s="436">
        <v>0</v>
      </c>
      <c r="BT33" s="436">
        <v>0</v>
      </c>
      <c r="BU33" s="436">
        <v>0</v>
      </c>
      <c r="BV33" s="189">
        <f t="shared" si="0"/>
        <v>42</v>
      </c>
      <c r="BY33" s="435"/>
    </row>
    <row r="34" spans="1:77" ht="11.25" customHeight="1">
      <c r="A34" s="934"/>
      <c r="B34" s="931" t="s">
        <v>617</v>
      </c>
      <c r="C34" s="932"/>
      <c r="D34" s="205">
        <v>0</v>
      </c>
      <c r="E34" s="205">
        <v>0</v>
      </c>
      <c r="F34" s="205">
        <v>0</v>
      </c>
      <c r="G34" s="205">
        <v>0</v>
      </c>
      <c r="H34" s="205">
        <v>0</v>
      </c>
      <c r="I34" s="205">
        <v>0</v>
      </c>
      <c r="J34" s="205">
        <v>0</v>
      </c>
      <c r="K34" s="205">
        <v>0</v>
      </c>
      <c r="L34" s="205">
        <v>0</v>
      </c>
      <c r="M34" s="205">
        <v>0</v>
      </c>
      <c r="N34" s="436">
        <v>0</v>
      </c>
      <c r="O34" s="205">
        <v>0</v>
      </c>
      <c r="P34" s="205">
        <v>0</v>
      </c>
      <c r="Q34" s="205">
        <v>0</v>
      </c>
      <c r="R34" s="205">
        <v>0</v>
      </c>
      <c r="S34" s="205">
        <v>0</v>
      </c>
      <c r="T34" s="205">
        <v>0</v>
      </c>
      <c r="U34" s="934"/>
      <c r="V34" s="931" t="s">
        <v>617</v>
      </c>
      <c r="W34" s="932"/>
      <c r="X34" s="205">
        <v>0</v>
      </c>
      <c r="Y34" s="205">
        <v>0</v>
      </c>
      <c r="Z34" s="205">
        <v>0</v>
      </c>
      <c r="AA34" s="205">
        <v>0</v>
      </c>
      <c r="AB34" s="205">
        <v>0</v>
      </c>
      <c r="AC34" s="205">
        <v>0</v>
      </c>
      <c r="AD34" s="205">
        <v>0</v>
      </c>
      <c r="AE34" s="205">
        <v>0</v>
      </c>
      <c r="AF34" s="205">
        <v>0</v>
      </c>
      <c r="AG34" s="205">
        <v>0</v>
      </c>
      <c r="AH34" s="205">
        <v>0</v>
      </c>
      <c r="AI34" s="205">
        <v>0</v>
      </c>
      <c r="AJ34" s="205">
        <v>0</v>
      </c>
      <c r="AK34" s="205">
        <v>0</v>
      </c>
      <c r="AL34" s="205">
        <v>0</v>
      </c>
      <c r="AM34" s="436">
        <v>0</v>
      </c>
      <c r="AN34" s="436">
        <v>0</v>
      </c>
      <c r="AO34" s="934"/>
      <c r="AP34" s="931" t="s">
        <v>617</v>
      </c>
      <c r="AQ34" s="932"/>
      <c r="AR34" s="436">
        <v>0</v>
      </c>
      <c r="AS34" s="436">
        <v>0</v>
      </c>
      <c r="AT34" s="205">
        <v>0</v>
      </c>
      <c r="AU34" s="436"/>
      <c r="AV34" s="436"/>
      <c r="AW34" s="436"/>
      <c r="AX34" s="205">
        <v>0</v>
      </c>
      <c r="AY34" s="436">
        <v>0</v>
      </c>
      <c r="AZ34" s="436">
        <v>0</v>
      </c>
      <c r="BA34" s="436">
        <v>0</v>
      </c>
      <c r="BB34" s="436">
        <v>0</v>
      </c>
      <c r="BC34" s="436">
        <v>0</v>
      </c>
      <c r="BD34" s="436">
        <v>0</v>
      </c>
      <c r="BE34" s="436">
        <v>0</v>
      </c>
      <c r="BF34" s="436">
        <v>0</v>
      </c>
      <c r="BG34" s="205">
        <v>0</v>
      </c>
      <c r="BH34" s="436">
        <v>0</v>
      </c>
      <c r="BI34" s="934"/>
      <c r="BJ34" s="931" t="s">
        <v>617</v>
      </c>
      <c r="BK34" s="932"/>
      <c r="BL34" s="436">
        <v>0</v>
      </c>
      <c r="BM34" s="436">
        <v>0</v>
      </c>
      <c r="BN34" s="436">
        <v>0</v>
      </c>
      <c r="BO34" s="205">
        <v>0</v>
      </c>
      <c r="BP34" s="205">
        <v>0</v>
      </c>
      <c r="BQ34" s="205">
        <v>0</v>
      </c>
      <c r="BR34" s="436">
        <v>0</v>
      </c>
      <c r="BS34" s="436">
        <v>0</v>
      </c>
      <c r="BT34" s="436">
        <v>0</v>
      </c>
      <c r="BU34" s="436">
        <v>0</v>
      </c>
      <c r="BV34" s="189">
        <f t="shared" si="0"/>
        <v>0</v>
      </c>
      <c r="BY34" s="435"/>
    </row>
    <row r="35" spans="1:77" ht="11.25" customHeight="1">
      <c r="A35" s="934"/>
      <c r="B35" s="437" t="s">
        <v>1018</v>
      </c>
      <c r="C35" s="438"/>
      <c r="D35" s="205">
        <v>0</v>
      </c>
      <c r="E35" s="205">
        <v>0</v>
      </c>
      <c r="F35" s="205">
        <v>0</v>
      </c>
      <c r="G35" s="205">
        <v>0</v>
      </c>
      <c r="H35" s="205">
        <v>0</v>
      </c>
      <c r="I35" s="205">
        <v>0</v>
      </c>
      <c r="J35" s="205">
        <v>0</v>
      </c>
      <c r="K35" s="205">
        <v>0</v>
      </c>
      <c r="L35" s="205">
        <v>0</v>
      </c>
      <c r="M35" s="205">
        <v>0</v>
      </c>
      <c r="N35" s="436">
        <v>0</v>
      </c>
      <c r="O35" s="205">
        <v>0</v>
      </c>
      <c r="P35" s="205">
        <v>0</v>
      </c>
      <c r="Q35" s="205">
        <v>0</v>
      </c>
      <c r="R35" s="205">
        <v>0</v>
      </c>
      <c r="S35" s="205">
        <v>0</v>
      </c>
      <c r="T35" s="205">
        <v>0</v>
      </c>
      <c r="U35" s="934"/>
      <c r="V35" s="437" t="s">
        <v>1019</v>
      </c>
      <c r="W35" s="438"/>
      <c r="X35" s="205">
        <v>0</v>
      </c>
      <c r="Y35" s="205">
        <v>0</v>
      </c>
      <c r="Z35" s="205">
        <v>0</v>
      </c>
      <c r="AA35" s="205">
        <v>0</v>
      </c>
      <c r="AB35" s="205">
        <v>0</v>
      </c>
      <c r="AC35" s="205">
        <v>0</v>
      </c>
      <c r="AD35" s="205">
        <v>0</v>
      </c>
      <c r="AE35" s="205">
        <v>0</v>
      </c>
      <c r="AF35" s="205">
        <v>0</v>
      </c>
      <c r="AG35" s="205">
        <v>0</v>
      </c>
      <c r="AH35" s="205">
        <v>0</v>
      </c>
      <c r="AI35" s="205">
        <v>0</v>
      </c>
      <c r="AJ35" s="205">
        <v>0</v>
      </c>
      <c r="AK35" s="205">
        <v>0</v>
      </c>
      <c r="AL35" s="205">
        <v>0</v>
      </c>
      <c r="AM35" s="436">
        <v>0</v>
      </c>
      <c r="AN35" s="436">
        <v>0</v>
      </c>
      <c r="AO35" s="934"/>
      <c r="AP35" s="437" t="s">
        <v>1019</v>
      </c>
      <c r="AQ35" s="438"/>
      <c r="AR35" s="436">
        <v>0</v>
      </c>
      <c r="AS35" s="436">
        <v>0</v>
      </c>
      <c r="AT35" s="205">
        <v>0</v>
      </c>
      <c r="AU35" s="436"/>
      <c r="AV35" s="436"/>
      <c r="AW35" s="436"/>
      <c r="AX35" s="205">
        <v>0</v>
      </c>
      <c r="AY35" s="436">
        <v>0</v>
      </c>
      <c r="AZ35" s="436">
        <v>0</v>
      </c>
      <c r="BA35" s="436">
        <v>0</v>
      </c>
      <c r="BB35" s="436">
        <v>0</v>
      </c>
      <c r="BC35" s="436">
        <v>0</v>
      </c>
      <c r="BD35" s="436">
        <v>0</v>
      </c>
      <c r="BE35" s="436">
        <v>0</v>
      </c>
      <c r="BF35" s="436">
        <v>0</v>
      </c>
      <c r="BG35" s="205">
        <v>0</v>
      </c>
      <c r="BH35" s="436">
        <v>0</v>
      </c>
      <c r="BI35" s="934"/>
      <c r="BJ35" s="437" t="s">
        <v>1019</v>
      </c>
      <c r="BK35" s="438"/>
      <c r="BL35" s="436">
        <v>0</v>
      </c>
      <c r="BM35" s="436">
        <v>0</v>
      </c>
      <c r="BN35" s="436">
        <v>0</v>
      </c>
      <c r="BO35" s="205">
        <v>0</v>
      </c>
      <c r="BP35" s="205">
        <v>0</v>
      </c>
      <c r="BQ35" s="205">
        <v>0</v>
      </c>
      <c r="BR35" s="436">
        <v>0</v>
      </c>
      <c r="BS35" s="436">
        <v>0</v>
      </c>
      <c r="BT35" s="436">
        <v>0</v>
      </c>
      <c r="BU35" s="436">
        <v>0</v>
      </c>
      <c r="BV35" s="189">
        <f t="shared" si="0"/>
        <v>0</v>
      </c>
      <c r="BY35" s="435"/>
    </row>
    <row r="36" spans="1:77" ht="11.25" customHeight="1">
      <c r="A36" s="934"/>
      <c r="B36" s="931" t="s">
        <v>619</v>
      </c>
      <c r="C36" s="932"/>
      <c r="D36" s="205">
        <v>1490</v>
      </c>
      <c r="E36" s="205">
        <v>0</v>
      </c>
      <c r="F36" s="205">
        <v>103</v>
      </c>
      <c r="G36" s="205">
        <v>23</v>
      </c>
      <c r="H36" s="205">
        <v>0</v>
      </c>
      <c r="I36" s="205">
        <v>3175</v>
      </c>
      <c r="J36" s="205">
        <v>0</v>
      </c>
      <c r="K36" s="205">
        <v>3935</v>
      </c>
      <c r="L36" s="205">
        <v>0</v>
      </c>
      <c r="M36" s="205">
        <v>31</v>
      </c>
      <c r="N36" s="436">
        <v>22645</v>
      </c>
      <c r="O36" s="205">
        <v>330</v>
      </c>
      <c r="P36" s="205">
        <v>4511</v>
      </c>
      <c r="Q36" s="205">
        <v>1135</v>
      </c>
      <c r="R36" s="205">
        <v>75</v>
      </c>
      <c r="S36" s="205">
        <v>71</v>
      </c>
      <c r="T36" s="205">
        <v>0</v>
      </c>
      <c r="U36" s="934"/>
      <c r="V36" s="931" t="s">
        <v>619</v>
      </c>
      <c r="W36" s="932"/>
      <c r="X36" s="205">
        <v>0</v>
      </c>
      <c r="Y36" s="205">
        <v>0</v>
      </c>
      <c r="Z36" s="205">
        <v>0</v>
      </c>
      <c r="AA36" s="205">
        <v>0</v>
      </c>
      <c r="AB36" s="205">
        <v>2518</v>
      </c>
      <c r="AC36" s="205">
        <v>170</v>
      </c>
      <c r="AD36" s="205">
        <v>209</v>
      </c>
      <c r="AE36" s="205">
        <v>973</v>
      </c>
      <c r="AF36" s="205">
        <v>1</v>
      </c>
      <c r="AG36" s="205">
        <v>253</v>
      </c>
      <c r="AH36" s="205">
        <v>749</v>
      </c>
      <c r="AI36" s="205">
        <v>34</v>
      </c>
      <c r="AJ36" s="205">
        <v>726</v>
      </c>
      <c r="AK36" s="205">
        <v>2086</v>
      </c>
      <c r="AL36" s="205">
        <v>22</v>
      </c>
      <c r="AM36" s="436">
        <v>0</v>
      </c>
      <c r="AN36" s="436">
        <v>5</v>
      </c>
      <c r="AO36" s="934"/>
      <c r="AP36" s="931" t="s">
        <v>619</v>
      </c>
      <c r="AQ36" s="932"/>
      <c r="AR36" s="436">
        <v>146</v>
      </c>
      <c r="AS36" s="436">
        <v>0</v>
      </c>
      <c r="AT36" s="205">
        <v>16637</v>
      </c>
      <c r="AU36" s="436"/>
      <c r="AV36" s="436"/>
      <c r="AW36" s="436"/>
      <c r="AX36" s="205">
        <v>2271</v>
      </c>
      <c r="AY36" s="436">
        <v>1640</v>
      </c>
      <c r="AZ36" s="436">
        <v>173</v>
      </c>
      <c r="BA36" s="436">
        <v>0</v>
      </c>
      <c r="BB36" s="436">
        <v>0</v>
      </c>
      <c r="BC36" s="436">
        <v>47</v>
      </c>
      <c r="BD36" s="436">
        <v>2408</v>
      </c>
      <c r="BE36" s="436">
        <v>5741</v>
      </c>
      <c r="BF36" s="436">
        <v>16928</v>
      </c>
      <c r="BG36" s="205">
        <v>7765</v>
      </c>
      <c r="BH36" s="436">
        <v>420</v>
      </c>
      <c r="BI36" s="934"/>
      <c r="BJ36" s="931" t="s">
        <v>619</v>
      </c>
      <c r="BK36" s="932"/>
      <c r="BL36" s="436">
        <v>0</v>
      </c>
      <c r="BM36" s="436">
        <v>23</v>
      </c>
      <c r="BN36" s="436">
        <v>2252</v>
      </c>
      <c r="BO36" s="205">
        <v>0</v>
      </c>
      <c r="BP36" s="205">
        <v>0</v>
      </c>
      <c r="BQ36" s="205">
        <v>29</v>
      </c>
      <c r="BR36" s="436">
        <v>2700</v>
      </c>
      <c r="BS36" s="436">
        <v>0</v>
      </c>
      <c r="BT36" s="436">
        <v>0</v>
      </c>
      <c r="BU36" s="436">
        <v>0</v>
      </c>
      <c r="BV36" s="189">
        <f t="shared" si="0"/>
        <v>104450</v>
      </c>
      <c r="BY36" s="435"/>
    </row>
    <row r="37" spans="1:77" s="435" customFormat="1" ht="11.25" customHeight="1">
      <c r="A37" s="934"/>
      <c r="B37" s="931" t="s">
        <v>620</v>
      </c>
      <c r="C37" s="932"/>
      <c r="D37" s="439">
        <v>1028</v>
      </c>
      <c r="E37" s="439">
        <v>0</v>
      </c>
      <c r="F37" s="439">
        <v>1282</v>
      </c>
      <c r="G37" s="439">
        <v>0</v>
      </c>
      <c r="H37" s="439">
        <v>56</v>
      </c>
      <c r="I37" s="439">
        <v>171</v>
      </c>
      <c r="J37" s="191">
        <v>0</v>
      </c>
      <c r="K37" s="191">
        <v>0</v>
      </c>
      <c r="L37" s="439">
        <v>636</v>
      </c>
      <c r="M37" s="439">
        <v>142</v>
      </c>
      <c r="N37" s="439">
        <v>123</v>
      </c>
      <c r="O37" s="439">
        <v>354</v>
      </c>
      <c r="P37" s="439">
        <v>0</v>
      </c>
      <c r="Q37" s="439">
        <v>0</v>
      </c>
      <c r="R37" s="439">
        <v>0</v>
      </c>
      <c r="S37" s="439">
        <v>0</v>
      </c>
      <c r="T37" s="439">
        <v>0</v>
      </c>
      <c r="U37" s="934"/>
      <c r="V37" s="931" t="s">
        <v>620</v>
      </c>
      <c r="W37" s="932"/>
      <c r="X37" s="439">
        <v>0</v>
      </c>
      <c r="Y37" s="439">
        <v>0</v>
      </c>
      <c r="Z37" s="439">
        <v>0</v>
      </c>
      <c r="AA37" s="191">
        <v>0</v>
      </c>
      <c r="AB37" s="191">
        <v>1319</v>
      </c>
      <c r="AC37" s="191">
        <v>0</v>
      </c>
      <c r="AD37" s="191">
        <v>0</v>
      </c>
      <c r="AE37" s="439">
        <v>0</v>
      </c>
      <c r="AF37" s="439">
        <v>0</v>
      </c>
      <c r="AG37" s="439">
        <v>0</v>
      </c>
      <c r="AH37" s="439">
        <v>224</v>
      </c>
      <c r="AI37" s="439">
        <v>0</v>
      </c>
      <c r="AJ37" s="439">
        <v>295</v>
      </c>
      <c r="AK37" s="439">
        <v>28</v>
      </c>
      <c r="AL37" s="439">
        <v>64</v>
      </c>
      <c r="AM37" s="439">
        <v>83</v>
      </c>
      <c r="AN37" s="439">
        <v>1349</v>
      </c>
      <c r="AO37" s="934"/>
      <c r="AP37" s="931" t="s">
        <v>620</v>
      </c>
      <c r="AQ37" s="932"/>
      <c r="AR37" s="439">
        <v>1434</v>
      </c>
      <c r="AS37" s="439">
        <v>0</v>
      </c>
      <c r="AT37" s="439">
        <v>3287</v>
      </c>
      <c r="AU37" s="439"/>
      <c r="AV37" s="439"/>
      <c r="AW37" s="439"/>
      <c r="AX37" s="191">
        <v>321</v>
      </c>
      <c r="AY37" s="439">
        <v>0</v>
      </c>
      <c r="AZ37" s="439">
        <v>0</v>
      </c>
      <c r="BA37" s="439">
        <v>2036</v>
      </c>
      <c r="BB37" s="439">
        <v>0</v>
      </c>
      <c r="BC37" s="439">
        <v>0</v>
      </c>
      <c r="BD37" s="439">
        <v>682</v>
      </c>
      <c r="BE37" s="439">
        <v>0</v>
      </c>
      <c r="BF37" s="439">
        <v>0</v>
      </c>
      <c r="BG37" s="439">
        <v>48835</v>
      </c>
      <c r="BH37" s="439">
        <v>8</v>
      </c>
      <c r="BI37" s="934"/>
      <c r="BJ37" s="931" t="s">
        <v>620</v>
      </c>
      <c r="BK37" s="932"/>
      <c r="BL37" s="439">
        <v>0</v>
      </c>
      <c r="BM37" s="439">
        <v>0</v>
      </c>
      <c r="BN37" s="439">
        <v>3055</v>
      </c>
      <c r="BO37" s="191">
        <v>0</v>
      </c>
      <c r="BP37" s="191">
        <v>0</v>
      </c>
      <c r="BQ37" s="191">
        <v>0</v>
      </c>
      <c r="BR37" s="439">
        <v>0</v>
      </c>
      <c r="BS37" s="439">
        <v>0</v>
      </c>
      <c r="BT37" s="439">
        <v>0</v>
      </c>
      <c r="BU37" s="439">
        <v>24</v>
      </c>
      <c r="BV37" s="189">
        <f t="shared" si="0"/>
        <v>66836</v>
      </c>
    </row>
    <row r="38" spans="1:77" s="435" customFormat="1" ht="11.25" customHeight="1">
      <c r="A38" s="934"/>
      <c r="B38" s="931" t="s">
        <v>621</v>
      </c>
      <c r="C38" s="932"/>
      <c r="D38" s="439">
        <v>60982</v>
      </c>
      <c r="E38" s="439">
        <v>0</v>
      </c>
      <c r="F38" s="439">
        <v>150063</v>
      </c>
      <c r="G38" s="439">
        <v>33386</v>
      </c>
      <c r="H38" s="439">
        <v>10625</v>
      </c>
      <c r="I38" s="439">
        <v>856115</v>
      </c>
      <c r="J38" s="191">
        <v>26198</v>
      </c>
      <c r="K38" s="191">
        <v>280160</v>
      </c>
      <c r="L38" s="191">
        <v>126868</v>
      </c>
      <c r="M38" s="439">
        <v>14269</v>
      </c>
      <c r="N38" s="439">
        <v>345190</v>
      </c>
      <c r="O38" s="439">
        <v>70254</v>
      </c>
      <c r="P38" s="439">
        <v>272053</v>
      </c>
      <c r="Q38" s="439">
        <v>0</v>
      </c>
      <c r="R38" s="439">
        <v>93344</v>
      </c>
      <c r="S38" s="439">
        <v>32065</v>
      </c>
      <c r="T38" s="439">
        <v>25412</v>
      </c>
      <c r="U38" s="934"/>
      <c r="V38" s="931" t="s">
        <v>621</v>
      </c>
      <c r="W38" s="932"/>
      <c r="X38" s="439">
        <v>6209</v>
      </c>
      <c r="Y38" s="439">
        <v>3900</v>
      </c>
      <c r="Z38" s="439">
        <v>10260</v>
      </c>
      <c r="AA38" s="191">
        <v>6292</v>
      </c>
      <c r="AB38" s="191">
        <v>239364</v>
      </c>
      <c r="AC38" s="191">
        <v>124431</v>
      </c>
      <c r="AD38" s="191">
        <v>43005</v>
      </c>
      <c r="AE38" s="439">
        <v>35416</v>
      </c>
      <c r="AF38" s="439">
        <v>18639</v>
      </c>
      <c r="AG38" s="439">
        <v>24049</v>
      </c>
      <c r="AH38" s="439">
        <v>11229</v>
      </c>
      <c r="AI38" s="439">
        <v>32393</v>
      </c>
      <c r="AJ38" s="439">
        <v>215051</v>
      </c>
      <c r="AK38" s="439">
        <v>21437</v>
      </c>
      <c r="AL38" s="439">
        <v>76918</v>
      </c>
      <c r="AM38" s="439">
        <v>8567</v>
      </c>
      <c r="AN38" s="439">
        <v>0</v>
      </c>
      <c r="AO38" s="934"/>
      <c r="AP38" s="931" t="s">
        <v>621</v>
      </c>
      <c r="AQ38" s="932"/>
      <c r="AR38" s="439">
        <v>12409</v>
      </c>
      <c r="AS38" s="439">
        <v>15783</v>
      </c>
      <c r="AT38" s="191">
        <v>214857</v>
      </c>
      <c r="AU38" s="439"/>
      <c r="AV38" s="439"/>
      <c r="AW38" s="439"/>
      <c r="AX38" s="191">
        <v>302756</v>
      </c>
      <c r="AY38" s="439">
        <v>430678</v>
      </c>
      <c r="AZ38" s="439">
        <v>36762</v>
      </c>
      <c r="BA38" s="439">
        <v>115098</v>
      </c>
      <c r="BB38" s="439">
        <v>79282</v>
      </c>
      <c r="BC38" s="439">
        <v>38072</v>
      </c>
      <c r="BD38" s="439">
        <v>53740</v>
      </c>
      <c r="BE38" s="439">
        <v>514418</v>
      </c>
      <c r="BF38" s="439">
        <v>1417731</v>
      </c>
      <c r="BG38" s="191">
        <v>260160</v>
      </c>
      <c r="BH38" s="439">
        <v>13604</v>
      </c>
      <c r="BI38" s="934"/>
      <c r="BJ38" s="931" t="s">
        <v>621</v>
      </c>
      <c r="BK38" s="932"/>
      <c r="BL38" s="439">
        <v>67536</v>
      </c>
      <c r="BM38" s="439">
        <v>3516</v>
      </c>
      <c r="BN38" s="439">
        <v>19250</v>
      </c>
      <c r="BO38" s="191">
        <v>32942</v>
      </c>
      <c r="BP38" s="191">
        <v>7243</v>
      </c>
      <c r="BQ38" s="191">
        <v>303718</v>
      </c>
      <c r="BR38" s="439">
        <v>92168</v>
      </c>
      <c r="BS38" s="439">
        <v>69462</v>
      </c>
      <c r="BT38" s="439">
        <v>23430</v>
      </c>
      <c r="BU38" s="439">
        <v>27608</v>
      </c>
      <c r="BV38" s="189">
        <f t="shared" ref="BV38:BV77" si="1">SUM(D38:BU38)</f>
        <v>7426367</v>
      </c>
    </row>
    <row r="39" spans="1:77" ht="11.25" customHeight="1">
      <c r="A39" s="934"/>
      <c r="B39" s="931" t="s">
        <v>622</v>
      </c>
      <c r="C39" s="932"/>
      <c r="D39" s="440">
        <v>0</v>
      </c>
      <c r="E39" s="440">
        <v>4586</v>
      </c>
      <c r="F39" s="440">
        <v>0</v>
      </c>
      <c r="G39" s="440">
        <v>0</v>
      </c>
      <c r="H39" s="440">
        <v>0</v>
      </c>
      <c r="I39" s="440">
        <v>0</v>
      </c>
      <c r="J39" s="441">
        <v>0</v>
      </c>
      <c r="K39" s="441">
        <v>0</v>
      </c>
      <c r="L39" s="441">
        <v>0</v>
      </c>
      <c r="M39" s="440">
        <v>0</v>
      </c>
      <c r="N39" s="440">
        <v>0</v>
      </c>
      <c r="O39" s="440">
        <v>0</v>
      </c>
      <c r="P39" s="440">
        <v>0</v>
      </c>
      <c r="Q39" s="440">
        <v>15047</v>
      </c>
      <c r="R39" s="440">
        <v>0</v>
      </c>
      <c r="S39" s="440">
        <v>0</v>
      </c>
      <c r="T39" s="440">
        <v>0</v>
      </c>
      <c r="U39" s="934"/>
      <c r="V39" s="931" t="s">
        <v>622</v>
      </c>
      <c r="W39" s="932"/>
      <c r="X39" s="440">
        <v>0</v>
      </c>
      <c r="Y39" s="440">
        <v>0</v>
      </c>
      <c r="Z39" s="440">
        <v>0</v>
      </c>
      <c r="AA39" s="441">
        <v>0</v>
      </c>
      <c r="AB39" s="441">
        <v>0</v>
      </c>
      <c r="AC39" s="441">
        <v>0</v>
      </c>
      <c r="AD39" s="196">
        <v>0</v>
      </c>
      <c r="AE39" s="440">
        <v>0</v>
      </c>
      <c r="AF39" s="440">
        <v>0</v>
      </c>
      <c r="AG39" s="440">
        <v>0</v>
      </c>
      <c r="AH39" s="440">
        <v>0</v>
      </c>
      <c r="AI39" s="440">
        <v>0</v>
      </c>
      <c r="AJ39" s="440">
        <v>0</v>
      </c>
      <c r="AK39" s="440">
        <v>0</v>
      </c>
      <c r="AL39" s="440">
        <v>0</v>
      </c>
      <c r="AM39" s="440">
        <v>0</v>
      </c>
      <c r="AN39" s="440">
        <v>3437</v>
      </c>
      <c r="AO39" s="934"/>
      <c r="AP39" s="931" t="s">
        <v>622</v>
      </c>
      <c r="AQ39" s="932"/>
      <c r="AR39" s="440">
        <v>0</v>
      </c>
      <c r="AS39" s="440">
        <v>0</v>
      </c>
      <c r="AT39" s="441">
        <v>0</v>
      </c>
      <c r="AU39" s="440"/>
      <c r="AV39" s="440"/>
      <c r="AW39" s="440"/>
      <c r="AX39" s="441">
        <v>0</v>
      </c>
      <c r="AY39" s="440">
        <v>0</v>
      </c>
      <c r="AZ39" s="440">
        <v>0</v>
      </c>
      <c r="BA39" s="440">
        <v>0</v>
      </c>
      <c r="BB39" s="440">
        <v>0</v>
      </c>
      <c r="BC39" s="440">
        <v>0</v>
      </c>
      <c r="BD39" s="440">
        <v>0</v>
      </c>
      <c r="BE39" s="440">
        <v>0</v>
      </c>
      <c r="BF39" s="440">
        <v>0</v>
      </c>
      <c r="BG39" s="441">
        <v>0</v>
      </c>
      <c r="BH39" s="440">
        <v>0</v>
      </c>
      <c r="BI39" s="934"/>
      <c r="BJ39" s="931" t="s">
        <v>622</v>
      </c>
      <c r="BK39" s="932"/>
      <c r="BL39" s="440">
        <v>0</v>
      </c>
      <c r="BM39" s="440">
        <v>0</v>
      </c>
      <c r="BN39" s="440">
        <v>0</v>
      </c>
      <c r="BO39" s="441">
        <v>0</v>
      </c>
      <c r="BP39" s="441">
        <v>0</v>
      </c>
      <c r="BQ39" s="441">
        <v>0</v>
      </c>
      <c r="BR39" s="440">
        <v>0</v>
      </c>
      <c r="BS39" s="440">
        <v>0</v>
      </c>
      <c r="BT39" s="440">
        <v>0</v>
      </c>
      <c r="BU39" s="440">
        <v>0</v>
      </c>
      <c r="BV39" s="204">
        <f t="shared" si="1"/>
        <v>23070</v>
      </c>
      <c r="BY39" s="435"/>
    </row>
    <row r="40" spans="1:77" ht="11.25" customHeight="1">
      <c r="A40" s="933" t="s">
        <v>623</v>
      </c>
      <c r="B40" s="936" t="s">
        <v>624</v>
      </c>
      <c r="C40" s="442" t="s">
        <v>625</v>
      </c>
      <c r="D40" s="203">
        <v>155500</v>
      </c>
      <c r="E40" s="203">
        <v>0</v>
      </c>
      <c r="F40" s="203">
        <v>0</v>
      </c>
      <c r="G40" s="203">
        <v>0</v>
      </c>
      <c r="H40" s="203">
        <v>0</v>
      </c>
      <c r="I40" s="203">
        <v>0</v>
      </c>
      <c r="J40" s="203">
        <v>0</v>
      </c>
      <c r="K40" s="203">
        <v>591100</v>
      </c>
      <c r="L40" s="203">
        <v>25000</v>
      </c>
      <c r="M40" s="203">
        <v>0</v>
      </c>
      <c r="N40" s="203">
        <v>660400</v>
      </c>
      <c r="O40" s="203">
        <v>167000</v>
      </c>
      <c r="P40" s="203">
        <v>0</v>
      </c>
      <c r="Q40" s="203">
        <v>60000</v>
      </c>
      <c r="R40" s="203">
        <v>0</v>
      </c>
      <c r="S40" s="203">
        <v>0</v>
      </c>
      <c r="T40" s="203">
        <v>0</v>
      </c>
      <c r="U40" s="933" t="s">
        <v>623</v>
      </c>
      <c r="V40" s="936" t="s">
        <v>624</v>
      </c>
      <c r="W40" s="442" t="s">
        <v>625</v>
      </c>
      <c r="X40" s="203">
        <v>0</v>
      </c>
      <c r="Y40" s="203">
        <v>0</v>
      </c>
      <c r="Z40" s="203">
        <v>0</v>
      </c>
      <c r="AA40" s="203">
        <v>0</v>
      </c>
      <c r="AB40" s="203">
        <v>226500</v>
      </c>
      <c r="AC40" s="203">
        <v>93000</v>
      </c>
      <c r="AD40" s="203">
        <v>26000</v>
      </c>
      <c r="AE40" s="203">
        <v>116700</v>
      </c>
      <c r="AF40" s="203">
        <v>125200</v>
      </c>
      <c r="AG40" s="203">
        <v>0</v>
      </c>
      <c r="AH40" s="203">
        <v>0</v>
      </c>
      <c r="AI40" s="203">
        <v>0</v>
      </c>
      <c r="AJ40" s="203">
        <v>385900</v>
      </c>
      <c r="AK40" s="203">
        <v>0</v>
      </c>
      <c r="AL40" s="203">
        <v>0</v>
      </c>
      <c r="AM40" s="203">
        <v>59700</v>
      </c>
      <c r="AN40" s="203">
        <v>75000</v>
      </c>
      <c r="AO40" s="933" t="s">
        <v>623</v>
      </c>
      <c r="AP40" s="936" t="s">
        <v>624</v>
      </c>
      <c r="AQ40" s="442" t="s">
        <v>625</v>
      </c>
      <c r="AR40" s="203">
        <v>0</v>
      </c>
      <c r="AS40" s="203">
        <v>415800</v>
      </c>
      <c r="AT40" s="203">
        <v>644100</v>
      </c>
      <c r="AU40" s="203"/>
      <c r="AV40" s="203"/>
      <c r="AW40" s="203"/>
      <c r="AX40" s="203">
        <v>100000</v>
      </c>
      <c r="AY40" s="203">
        <v>83000</v>
      </c>
      <c r="AZ40" s="203">
        <v>0</v>
      </c>
      <c r="BA40" s="203">
        <v>0</v>
      </c>
      <c r="BB40" s="203">
        <v>0</v>
      </c>
      <c r="BC40" s="203">
        <v>0</v>
      </c>
      <c r="BD40" s="203">
        <v>16600</v>
      </c>
      <c r="BE40" s="203">
        <v>1210400</v>
      </c>
      <c r="BF40" s="203">
        <v>1775500</v>
      </c>
      <c r="BG40" s="203">
        <v>33000</v>
      </c>
      <c r="BH40" s="203">
        <v>21500</v>
      </c>
      <c r="BI40" s="933" t="s">
        <v>623</v>
      </c>
      <c r="BJ40" s="936" t="s">
        <v>624</v>
      </c>
      <c r="BK40" s="442" t="s">
        <v>625</v>
      </c>
      <c r="BL40" s="203">
        <v>0</v>
      </c>
      <c r="BM40" s="203">
        <v>33600</v>
      </c>
      <c r="BN40" s="203">
        <v>0</v>
      </c>
      <c r="BO40" s="203">
        <v>0</v>
      </c>
      <c r="BP40" s="203">
        <v>0</v>
      </c>
      <c r="BQ40" s="203">
        <v>113400</v>
      </c>
      <c r="BR40" s="203">
        <v>0</v>
      </c>
      <c r="BS40" s="203">
        <v>113500</v>
      </c>
      <c r="BT40" s="203">
        <v>4600</v>
      </c>
      <c r="BU40" s="203">
        <v>0</v>
      </c>
      <c r="BV40" s="187">
        <f t="shared" si="1"/>
        <v>7332000</v>
      </c>
      <c r="BY40" s="435"/>
    </row>
    <row r="41" spans="1:77" ht="11.25" customHeight="1">
      <c r="A41" s="934"/>
      <c r="B41" s="874"/>
      <c r="C41" s="201" t="s">
        <v>1020</v>
      </c>
      <c r="D41" s="205">
        <v>0</v>
      </c>
      <c r="E41" s="205">
        <v>0</v>
      </c>
      <c r="F41" s="205">
        <v>0</v>
      </c>
      <c r="G41" s="205">
        <v>0</v>
      </c>
      <c r="H41" s="205">
        <v>0</v>
      </c>
      <c r="I41" s="205">
        <v>0</v>
      </c>
      <c r="J41" s="205">
        <v>0</v>
      </c>
      <c r="K41" s="205">
        <v>0</v>
      </c>
      <c r="L41" s="205">
        <v>25000</v>
      </c>
      <c r="M41" s="205">
        <v>0</v>
      </c>
      <c r="N41" s="436">
        <v>660400</v>
      </c>
      <c r="O41" s="205">
        <v>0</v>
      </c>
      <c r="P41" s="205">
        <v>0</v>
      </c>
      <c r="Q41" s="205">
        <v>60000</v>
      </c>
      <c r="R41" s="205">
        <v>0</v>
      </c>
      <c r="S41" s="205">
        <v>0</v>
      </c>
      <c r="T41" s="205">
        <v>0</v>
      </c>
      <c r="U41" s="934"/>
      <c r="V41" s="874"/>
      <c r="W41" s="201" t="s">
        <v>1020</v>
      </c>
      <c r="X41" s="205">
        <v>0</v>
      </c>
      <c r="Y41" s="205">
        <v>0</v>
      </c>
      <c r="Z41" s="205">
        <v>0</v>
      </c>
      <c r="AA41" s="205">
        <v>0</v>
      </c>
      <c r="AB41" s="205">
        <v>0</v>
      </c>
      <c r="AC41" s="205">
        <v>0</v>
      </c>
      <c r="AD41" s="205">
        <v>26000</v>
      </c>
      <c r="AE41" s="205">
        <v>0</v>
      </c>
      <c r="AF41" s="205">
        <v>0</v>
      </c>
      <c r="AG41" s="205">
        <v>0</v>
      </c>
      <c r="AH41" s="205">
        <v>0</v>
      </c>
      <c r="AI41" s="205">
        <v>0</v>
      </c>
      <c r="AJ41" s="205">
        <v>0</v>
      </c>
      <c r="AK41" s="205">
        <v>0</v>
      </c>
      <c r="AL41" s="205">
        <v>0</v>
      </c>
      <c r="AM41" s="436">
        <v>59700</v>
      </c>
      <c r="AN41" s="436">
        <v>75000</v>
      </c>
      <c r="AO41" s="934"/>
      <c r="AP41" s="874"/>
      <c r="AQ41" s="201" t="s">
        <v>1020</v>
      </c>
      <c r="AR41" s="436">
        <v>0</v>
      </c>
      <c r="AS41" s="436">
        <v>0</v>
      </c>
      <c r="AT41" s="205">
        <v>0</v>
      </c>
      <c r="AU41" s="436"/>
      <c r="AV41" s="436"/>
      <c r="AW41" s="436"/>
      <c r="AX41" s="205">
        <v>0</v>
      </c>
      <c r="AY41" s="436">
        <v>83000</v>
      </c>
      <c r="AZ41" s="436">
        <v>0</v>
      </c>
      <c r="BA41" s="436">
        <v>0</v>
      </c>
      <c r="BB41" s="436">
        <v>0</v>
      </c>
      <c r="BC41" s="436">
        <v>0</v>
      </c>
      <c r="BD41" s="436">
        <v>16600</v>
      </c>
      <c r="BE41" s="436">
        <v>0</v>
      </c>
      <c r="BF41" s="436">
        <v>0</v>
      </c>
      <c r="BG41" s="205">
        <v>0</v>
      </c>
      <c r="BH41" s="436">
        <v>21500</v>
      </c>
      <c r="BI41" s="934"/>
      <c r="BJ41" s="874"/>
      <c r="BK41" s="201" t="s">
        <v>1020</v>
      </c>
      <c r="BL41" s="436">
        <v>0</v>
      </c>
      <c r="BM41" s="436">
        <v>33600</v>
      </c>
      <c r="BN41" s="436">
        <v>0</v>
      </c>
      <c r="BO41" s="205">
        <v>0</v>
      </c>
      <c r="BP41" s="205">
        <v>0</v>
      </c>
      <c r="BQ41" s="205">
        <v>0</v>
      </c>
      <c r="BR41" s="436">
        <v>0</v>
      </c>
      <c r="BS41" s="436">
        <v>0</v>
      </c>
      <c r="BT41" s="436">
        <v>0</v>
      </c>
      <c r="BU41" s="436">
        <v>0</v>
      </c>
      <c r="BV41" s="189">
        <f t="shared" si="1"/>
        <v>1060800</v>
      </c>
      <c r="BY41" s="435"/>
    </row>
    <row r="42" spans="1:77" ht="11.25" customHeight="1">
      <c r="A42" s="934"/>
      <c r="B42" s="874"/>
      <c r="C42" s="201" t="s">
        <v>1021</v>
      </c>
      <c r="D42" s="205">
        <v>155500</v>
      </c>
      <c r="E42" s="205">
        <v>0</v>
      </c>
      <c r="F42" s="205">
        <v>0</v>
      </c>
      <c r="G42" s="205">
        <v>0</v>
      </c>
      <c r="H42" s="205">
        <v>0</v>
      </c>
      <c r="I42" s="205">
        <v>0</v>
      </c>
      <c r="J42" s="205">
        <v>0</v>
      </c>
      <c r="K42" s="205">
        <v>591100</v>
      </c>
      <c r="L42" s="205">
        <v>0</v>
      </c>
      <c r="M42" s="205">
        <v>0</v>
      </c>
      <c r="N42" s="436">
        <v>0</v>
      </c>
      <c r="O42" s="205">
        <v>167000</v>
      </c>
      <c r="P42" s="205">
        <v>0</v>
      </c>
      <c r="Q42" s="205">
        <v>0</v>
      </c>
      <c r="R42" s="205">
        <v>0</v>
      </c>
      <c r="S42" s="205">
        <v>0</v>
      </c>
      <c r="T42" s="205">
        <v>0</v>
      </c>
      <c r="U42" s="934"/>
      <c r="V42" s="874"/>
      <c r="W42" s="201" t="s">
        <v>1021</v>
      </c>
      <c r="X42" s="205">
        <v>0</v>
      </c>
      <c r="Y42" s="205">
        <v>0</v>
      </c>
      <c r="Z42" s="205">
        <v>0</v>
      </c>
      <c r="AA42" s="205">
        <v>0</v>
      </c>
      <c r="AB42" s="205">
        <v>186500</v>
      </c>
      <c r="AC42" s="205">
        <v>93000</v>
      </c>
      <c r="AD42" s="205">
        <v>0</v>
      </c>
      <c r="AE42" s="205">
        <v>116700</v>
      </c>
      <c r="AF42" s="205">
        <v>125200</v>
      </c>
      <c r="AG42" s="205">
        <v>0</v>
      </c>
      <c r="AH42" s="205">
        <v>0</v>
      </c>
      <c r="AI42" s="205">
        <v>0</v>
      </c>
      <c r="AJ42" s="205">
        <v>385900</v>
      </c>
      <c r="AK42" s="205">
        <v>0</v>
      </c>
      <c r="AL42" s="205">
        <v>0</v>
      </c>
      <c r="AM42" s="436">
        <v>0</v>
      </c>
      <c r="AN42" s="436">
        <v>0</v>
      </c>
      <c r="AO42" s="934"/>
      <c r="AP42" s="874"/>
      <c r="AQ42" s="201" t="s">
        <v>1021</v>
      </c>
      <c r="AR42" s="436">
        <v>0</v>
      </c>
      <c r="AS42" s="436">
        <v>415800</v>
      </c>
      <c r="AT42" s="205">
        <v>644100</v>
      </c>
      <c r="AU42" s="436"/>
      <c r="AV42" s="436"/>
      <c r="AW42" s="436"/>
      <c r="AX42" s="205">
        <v>100000</v>
      </c>
      <c r="AY42" s="436">
        <v>0</v>
      </c>
      <c r="AZ42" s="436">
        <v>0</v>
      </c>
      <c r="BA42" s="436">
        <v>0</v>
      </c>
      <c r="BB42" s="436">
        <v>0</v>
      </c>
      <c r="BC42" s="436">
        <v>0</v>
      </c>
      <c r="BD42" s="436">
        <v>0</v>
      </c>
      <c r="BE42" s="436">
        <v>1210400</v>
      </c>
      <c r="BF42" s="436">
        <v>1775500</v>
      </c>
      <c r="BG42" s="205">
        <v>33000</v>
      </c>
      <c r="BH42" s="436">
        <v>0</v>
      </c>
      <c r="BI42" s="934"/>
      <c r="BJ42" s="874"/>
      <c r="BK42" s="201" t="s">
        <v>1021</v>
      </c>
      <c r="BL42" s="436">
        <v>0</v>
      </c>
      <c r="BM42" s="436">
        <v>0</v>
      </c>
      <c r="BN42" s="436">
        <v>0</v>
      </c>
      <c r="BO42" s="205">
        <v>0</v>
      </c>
      <c r="BP42" s="205">
        <v>0</v>
      </c>
      <c r="BQ42" s="205">
        <v>113400</v>
      </c>
      <c r="BR42" s="436">
        <v>0</v>
      </c>
      <c r="BS42" s="436">
        <v>113500</v>
      </c>
      <c r="BT42" s="436">
        <v>4600</v>
      </c>
      <c r="BU42" s="436">
        <v>0</v>
      </c>
      <c r="BV42" s="189">
        <f t="shared" si="1"/>
        <v>6231200</v>
      </c>
      <c r="BY42" s="435"/>
    </row>
    <row r="43" spans="1:77" ht="11.25" customHeight="1">
      <c r="A43" s="934"/>
      <c r="B43" s="874"/>
      <c r="C43" s="201" t="s">
        <v>1022</v>
      </c>
      <c r="D43" s="205">
        <v>0</v>
      </c>
      <c r="E43" s="205">
        <v>0</v>
      </c>
      <c r="F43" s="205">
        <v>0</v>
      </c>
      <c r="G43" s="205">
        <v>0</v>
      </c>
      <c r="H43" s="205">
        <v>0</v>
      </c>
      <c r="I43" s="205">
        <v>0</v>
      </c>
      <c r="J43" s="205">
        <v>0</v>
      </c>
      <c r="K43" s="205">
        <v>0</v>
      </c>
      <c r="L43" s="205">
        <v>0</v>
      </c>
      <c r="M43" s="205">
        <v>0</v>
      </c>
      <c r="N43" s="436">
        <v>0</v>
      </c>
      <c r="O43" s="205">
        <v>0</v>
      </c>
      <c r="P43" s="205">
        <v>0</v>
      </c>
      <c r="Q43" s="205">
        <v>0</v>
      </c>
      <c r="R43" s="205">
        <v>0</v>
      </c>
      <c r="S43" s="205">
        <v>0</v>
      </c>
      <c r="T43" s="205">
        <v>0</v>
      </c>
      <c r="U43" s="934"/>
      <c r="V43" s="874"/>
      <c r="W43" s="201" t="s">
        <v>1022</v>
      </c>
      <c r="X43" s="205">
        <v>0</v>
      </c>
      <c r="Y43" s="205">
        <v>0</v>
      </c>
      <c r="Z43" s="205">
        <v>0</v>
      </c>
      <c r="AA43" s="205">
        <v>0</v>
      </c>
      <c r="AB43" s="205">
        <v>40000</v>
      </c>
      <c r="AC43" s="205">
        <v>0</v>
      </c>
      <c r="AD43" s="205">
        <v>0</v>
      </c>
      <c r="AE43" s="205">
        <v>0</v>
      </c>
      <c r="AF43" s="205">
        <v>0</v>
      </c>
      <c r="AG43" s="205">
        <v>0</v>
      </c>
      <c r="AH43" s="205">
        <v>0</v>
      </c>
      <c r="AI43" s="205">
        <v>0</v>
      </c>
      <c r="AJ43" s="205">
        <v>0</v>
      </c>
      <c r="AK43" s="205">
        <v>0</v>
      </c>
      <c r="AL43" s="205">
        <v>0</v>
      </c>
      <c r="AM43" s="436">
        <v>0</v>
      </c>
      <c r="AN43" s="436">
        <v>0</v>
      </c>
      <c r="AO43" s="934"/>
      <c r="AP43" s="874"/>
      <c r="AQ43" s="201" t="s">
        <v>1022</v>
      </c>
      <c r="AR43" s="436">
        <v>0</v>
      </c>
      <c r="AS43" s="436">
        <v>0</v>
      </c>
      <c r="AT43" s="205">
        <v>0</v>
      </c>
      <c r="AU43" s="436"/>
      <c r="AV43" s="436"/>
      <c r="AW43" s="436"/>
      <c r="AX43" s="205">
        <v>0</v>
      </c>
      <c r="AY43" s="436">
        <v>0</v>
      </c>
      <c r="AZ43" s="436">
        <v>0</v>
      </c>
      <c r="BA43" s="436">
        <v>0</v>
      </c>
      <c r="BB43" s="436">
        <v>0</v>
      </c>
      <c r="BC43" s="436">
        <v>0</v>
      </c>
      <c r="BD43" s="436">
        <v>0</v>
      </c>
      <c r="BE43" s="436">
        <v>0</v>
      </c>
      <c r="BF43" s="436">
        <v>0</v>
      </c>
      <c r="BG43" s="205">
        <v>0</v>
      </c>
      <c r="BH43" s="436">
        <v>0</v>
      </c>
      <c r="BI43" s="934"/>
      <c r="BJ43" s="874"/>
      <c r="BK43" s="201" t="s">
        <v>1022</v>
      </c>
      <c r="BL43" s="436">
        <v>0</v>
      </c>
      <c r="BM43" s="436">
        <v>0</v>
      </c>
      <c r="BN43" s="436">
        <v>0</v>
      </c>
      <c r="BO43" s="205">
        <v>0</v>
      </c>
      <c r="BP43" s="205">
        <v>0</v>
      </c>
      <c r="BQ43" s="205">
        <v>0</v>
      </c>
      <c r="BR43" s="436">
        <v>0</v>
      </c>
      <c r="BS43" s="436">
        <v>0</v>
      </c>
      <c r="BT43" s="436">
        <v>0</v>
      </c>
      <c r="BU43" s="436">
        <v>0</v>
      </c>
      <c r="BV43" s="189">
        <f t="shared" si="1"/>
        <v>40000</v>
      </c>
      <c r="BY43" s="435"/>
    </row>
    <row r="44" spans="1:77" ht="11.25" customHeight="1">
      <c r="A44" s="934"/>
      <c r="B44" s="874"/>
      <c r="C44" s="201" t="s">
        <v>1023</v>
      </c>
      <c r="D44" s="205">
        <v>0</v>
      </c>
      <c r="E44" s="205">
        <v>0</v>
      </c>
      <c r="F44" s="205">
        <v>0</v>
      </c>
      <c r="G44" s="205">
        <v>0</v>
      </c>
      <c r="H44" s="205">
        <v>0</v>
      </c>
      <c r="I44" s="205">
        <v>0</v>
      </c>
      <c r="J44" s="205">
        <v>0</v>
      </c>
      <c r="K44" s="205">
        <v>0</v>
      </c>
      <c r="L44" s="205">
        <v>0</v>
      </c>
      <c r="M44" s="205">
        <v>0</v>
      </c>
      <c r="N44" s="436">
        <v>0</v>
      </c>
      <c r="O44" s="205">
        <v>0</v>
      </c>
      <c r="P44" s="205">
        <v>0</v>
      </c>
      <c r="Q44" s="205">
        <v>0</v>
      </c>
      <c r="R44" s="205">
        <v>0</v>
      </c>
      <c r="S44" s="205">
        <v>0</v>
      </c>
      <c r="T44" s="205">
        <v>0</v>
      </c>
      <c r="U44" s="934"/>
      <c r="V44" s="874"/>
      <c r="W44" s="201" t="s">
        <v>1023</v>
      </c>
      <c r="X44" s="205">
        <v>0</v>
      </c>
      <c r="Y44" s="205">
        <v>0</v>
      </c>
      <c r="Z44" s="205">
        <v>0</v>
      </c>
      <c r="AA44" s="205">
        <v>0</v>
      </c>
      <c r="AB44" s="205">
        <v>0</v>
      </c>
      <c r="AC44" s="205">
        <v>0</v>
      </c>
      <c r="AD44" s="205">
        <v>0</v>
      </c>
      <c r="AE44" s="205">
        <v>0</v>
      </c>
      <c r="AF44" s="205">
        <v>0</v>
      </c>
      <c r="AG44" s="205">
        <v>0</v>
      </c>
      <c r="AH44" s="205">
        <v>0</v>
      </c>
      <c r="AI44" s="205">
        <v>0</v>
      </c>
      <c r="AJ44" s="205">
        <v>0</v>
      </c>
      <c r="AK44" s="205">
        <v>0</v>
      </c>
      <c r="AL44" s="205">
        <v>0</v>
      </c>
      <c r="AM44" s="436">
        <v>0</v>
      </c>
      <c r="AN44" s="436">
        <v>0</v>
      </c>
      <c r="AO44" s="934"/>
      <c r="AP44" s="874"/>
      <c r="AQ44" s="201" t="s">
        <v>1023</v>
      </c>
      <c r="AR44" s="436">
        <v>0</v>
      </c>
      <c r="AS44" s="436">
        <v>0</v>
      </c>
      <c r="AT44" s="205">
        <v>0</v>
      </c>
      <c r="AU44" s="436"/>
      <c r="AV44" s="436"/>
      <c r="AW44" s="436"/>
      <c r="AX44" s="205">
        <v>0</v>
      </c>
      <c r="AY44" s="436">
        <v>0</v>
      </c>
      <c r="AZ44" s="436">
        <v>0</v>
      </c>
      <c r="BA44" s="436">
        <v>0</v>
      </c>
      <c r="BB44" s="436">
        <v>0</v>
      </c>
      <c r="BC44" s="436">
        <v>0</v>
      </c>
      <c r="BD44" s="436">
        <v>0</v>
      </c>
      <c r="BE44" s="436">
        <v>0</v>
      </c>
      <c r="BF44" s="436">
        <v>0</v>
      </c>
      <c r="BG44" s="205">
        <v>0</v>
      </c>
      <c r="BH44" s="436">
        <v>0</v>
      </c>
      <c r="BI44" s="934"/>
      <c r="BJ44" s="874"/>
      <c r="BK44" s="201" t="s">
        <v>1023</v>
      </c>
      <c r="BL44" s="436">
        <v>0</v>
      </c>
      <c r="BM44" s="436">
        <v>0</v>
      </c>
      <c r="BN44" s="436">
        <v>0</v>
      </c>
      <c r="BO44" s="205">
        <v>0</v>
      </c>
      <c r="BP44" s="205">
        <v>0</v>
      </c>
      <c r="BQ44" s="205">
        <v>0</v>
      </c>
      <c r="BR44" s="436">
        <v>0</v>
      </c>
      <c r="BS44" s="436">
        <v>0</v>
      </c>
      <c r="BT44" s="436">
        <v>0</v>
      </c>
      <c r="BU44" s="436">
        <v>0</v>
      </c>
      <c r="BV44" s="189">
        <f t="shared" si="1"/>
        <v>0</v>
      </c>
      <c r="BY44" s="435"/>
    </row>
    <row r="45" spans="1:77" ht="11.25" customHeight="1">
      <c r="A45" s="934"/>
      <c r="B45" s="874"/>
      <c r="C45" s="201" t="s">
        <v>630</v>
      </c>
      <c r="D45" s="205">
        <v>6307</v>
      </c>
      <c r="E45" s="205">
        <v>4397</v>
      </c>
      <c r="F45" s="205">
        <v>4500</v>
      </c>
      <c r="G45" s="205">
        <v>0</v>
      </c>
      <c r="H45" s="205">
        <v>0</v>
      </c>
      <c r="I45" s="205">
        <v>23386</v>
      </c>
      <c r="J45" s="205">
        <v>0</v>
      </c>
      <c r="K45" s="205">
        <v>66115</v>
      </c>
      <c r="L45" s="205">
        <v>6762</v>
      </c>
      <c r="M45" s="205">
        <v>38330</v>
      </c>
      <c r="N45" s="436">
        <v>0</v>
      </c>
      <c r="O45" s="205">
        <v>9939</v>
      </c>
      <c r="P45" s="205">
        <v>0</v>
      </c>
      <c r="Q45" s="205">
        <v>0</v>
      </c>
      <c r="R45" s="205">
        <v>2316</v>
      </c>
      <c r="S45" s="205">
        <v>0</v>
      </c>
      <c r="T45" s="205">
        <v>0</v>
      </c>
      <c r="U45" s="934"/>
      <c r="V45" s="874"/>
      <c r="W45" s="201" t="s">
        <v>630</v>
      </c>
      <c r="X45" s="205">
        <v>0</v>
      </c>
      <c r="Y45" s="205">
        <v>0</v>
      </c>
      <c r="Z45" s="205">
        <v>0</v>
      </c>
      <c r="AA45" s="205">
        <v>0</v>
      </c>
      <c r="AB45" s="205">
        <v>48611</v>
      </c>
      <c r="AC45" s="205">
        <v>4427</v>
      </c>
      <c r="AD45" s="205">
        <v>13800</v>
      </c>
      <c r="AE45" s="205">
        <v>0</v>
      </c>
      <c r="AF45" s="205">
        <v>9000</v>
      </c>
      <c r="AG45" s="205">
        <v>0</v>
      </c>
      <c r="AH45" s="205">
        <v>0</v>
      </c>
      <c r="AI45" s="205">
        <v>0</v>
      </c>
      <c r="AJ45" s="205">
        <v>243184</v>
      </c>
      <c r="AK45" s="205">
        <v>11466</v>
      </c>
      <c r="AL45" s="205">
        <v>0</v>
      </c>
      <c r="AM45" s="436">
        <v>35989</v>
      </c>
      <c r="AN45" s="436">
        <v>13460</v>
      </c>
      <c r="AO45" s="934"/>
      <c r="AP45" s="874"/>
      <c r="AQ45" s="201" t="s">
        <v>630</v>
      </c>
      <c r="AR45" s="436">
        <v>16210</v>
      </c>
      <c r="AS45" s="436">
        <v>342900</v>
      </c>
      <c r="AT45" s="205">
        <v>183899</v>
      </c>
      <c r="AU45" s="436"/>
      <c r="AV45" s="436"/>
      <c r="AW45" s="436"/>
      <c r="AX45" s="205">
        <v>40576</v>
      </c>
      <c r="AY45" s="436">
        <v>91033</v>
      </c>
      <c r="AZ45" s="436">
        <v>2290</v>
      </c>
      <c r="BA45" s="436">
        <v>808</v>
      </c>
      <c r="BB45" s="436">
        <v>0</v>
      </c>
      <c r="BC45" s="436">
        <v>0</v>
      </c>
      <c r="BD45" s="436">
        <v>3247</v>
      </c>
      <c r="BE45" s="436">
        <v>0</v>
      </c>
      <c r="BF45" s="436">
        <v>377299</v>
      </c>
      <c r="BG45" s="205">
        <v>33051</v>
      </c>
      <c r="BH45" s="436">
        <v>7376</v>
      </c>
      <c r="BI45" s="934"/>
      <c r="BJ45" s="874"/>
      <c r="BK45" s="201" t="s">
        <v>630</v>
      </c>
      <c r="BL45" s="436">
        <v>0</v>
      </c>
      <c r="BM45" s="436">
        <v>16844</v>
      </c>
      <c r="BN45" s="436">
        <v>3834</v>
      </c>
      <c r="BO45" s="205">
        <v>0</v>
      </c>
      <c r="BP45" s="205">
        <v>0</v>
      </c>
      <c r="BQ45" s="205">
        <v>17746</v>
      </c>
      <c r="BR45" s="436">
        <v>49525</v>
      </c>
      <c r="BS45" s="436">
        <v>52610</v>
      </c>
      <c r="BT45" s="436">
        <v>1370</v>
      </c>
      <c r="BU45" s="436">
        <v>0</v>
      </c>
      <c r="BV45" s="189">
        <f t="shared" si="1"/>
        <v>1782607</v>
      </c>
      <c r="BY45" s="435"/>
    </row>
    <row r="46" spans="1:77" ht="11.25" customHeight="1">
      <c r="A46" s="934"/>
      <c r="B46" s="874"/>
      <c r="C46" s="201" t="s">
        <v>631</v>
      </c>
      <c r="D46" s="205">
        <v>0</v>
      </c>
      <c r="E46" s="205">
        <v>0</v>
      </c>
      <c r="F46" s="205">
        <v>0</v>
      </c>
      <c r="G46" s="205">
        <v>0</v>
      </c>
      <c r="H46" s="205">
        <v>0</v>
      </c>
      <c r="I46" s="205">
        <v>0</v>
      </c>
      <c r="J46" s="205">
        <v>0</v>
      </c>
      <c r="K46" s="205">
        <v>0</v>
      </c>
      <c r="L46" s="205">
        <v>0</v>
      </c>
      <c r="M46" s="205">
        <v>0</v>
      </c>
      <c r="N46" s="436">
        <v>0</v>
      </c>
      <c r="O46" s="205">
        <v>0</v>
      </c>
      <c r="P46" s="205">
        <v>0</v>
      </c>
      <c r="Q46" s="205">
        <v>0</v>
      </c>
      <c r="R46" s="205">
        <v>0</v>
      </c>
      <c r="S46" s="205">
        <v>0</v>
      </c>
      <c r="T46" s="205">
        <v>0</v>
      </c>
      <c r="U46" s="934"/>
      <c r="V46" s="874"/>
      <c r="W46" s="201" t="s">
        <v>631</v>
      </c>
      <c r="X46" s="205">
        <v>0</v>
      </c>
      <c r="Y46" s="205">
        <v>0</v>
      </c>
      <c r="Z46" s="205">
        <v>0</v>
      </c>
      <c r="AA46" s="205">
        <v>0</v>
      </c>
      <c r="AB46" s="205">
        <v>0</v>
      </c>
      <c r="AC46" s="205">
        <v>0</v>
      </c>
      <c r="AD46" s="205">
        <v>0</v>
      </c>
      <c r="AE46" s="205">
        <v>0</v>
      </c>
      <c r="AF46" s="205">
        <v>0</v>
      </c>
      <c r="AG46" s="205">
        <v>0</v>
      </c>
      <c r="AH46" s="205">
        <v>22726</v>
      </c>
      <c r="AI46" s="205">
        <v>0</v>
      </c>
      <c r="AJ46" s="205">
        <v>0</v>
      </c>
      <c r="AK46" s="205">
        <v>0</v>
      </c>
      <c r="AL46" s="205">
        <v>0</v>
      </c>
      <c r="AM46" s="436">
        <v>0</v>
      </c>
      <c r="AN46" s="436">
        <v>0</v>
      </c>
      <c r="AO46" s="934"/>
      <c r="AP46" s="874"/>
      <c r="AQ46" s="201" t="s">
        <v>631</v>
      </c>
      <c r="AR46" s="436">
        <v>0</v>
      </c>
      <c r="AS46" s="436">
        <v>0</v>
      </c>
      <c r="AT46" s="205">
        <v>0</v>
      </c>
      <c r="AU46" s="436"/>
      <c r="AV46" s="436"/>
      <c r="AW46" s="436"/>
      <c r="AX46" s="205">
        <v>0</v>
      </c>
      <c r="AY46" s="436">
        <v>0</v>
      </c>
      <c r="AZ46" s="436">
        <v>0</v>
      </c>
      <c r="BA46" s="436">
        <v>0</v>
      </c>
      <c r="BB46" s="436">
        <v>0</v>
      </c>
      <c r="BC46" s="436">
        <v>0</v>
      </c>
      <c r="BD46" s="436">
        <v>0</v>
      </c>
      <c r="BE46" s="436">
        <v>0</v>
      </c>
      <c r="BF46" s="436">
        <v>0</v>
      </c>
      <c r="BG46" s="205">
        <v>0</v>
      </c>
      <c r="BH46" s="436">
        <v>0</v>
      </c>
      <c r="BI46" s="934"/>
      <c r="BJ46" s="874"/>
      <c r="BK46" s="201" t="s">
        <v>631</v>
      </c>
      <c r="BL46" s="436">
        <v>0</v>
      </c>
      <c r="BM46" s="436">
        <v>0</v>
      </c>
      <c r="BN46" s="436">
        <v>0</v>
      </c>
      <c r="BO46" s="205">
        <v>0</v>
      </c>
      <c r="BP46" s="205">
        <v>0</v>
      </c>
      <c r="BQ46" s="205">
        <v>0</v>
      </c>
      <c r="BR46" s="436">
        <v>0</v>
      </c>
      <c r="BS46" s="436">
        <v>0</v>
      </c>
      <c r="BT46" s="436">
        <v>0</v>
      </c>
      <c r="BU46" s="436">
        <v>0</v>
      </c>
      <c r="BV46" s="189">
        <f t="shared" si="1"/>
        <v>22726</v>
      </c>
      <c r="BY46" s="435"/>
    </row>
    <row r="47" spans="1:77" ht="11.25" customHeight="1">
      <c r="A47" s="934"/>
      <c r="B47" s="874"/>
      <c r="C47" s="201" t="s">
        <v>632</v>
      </c>
      <c r="D47" s="205">
        <v>0</v>
      </c>
      <c r="E47" s="205">
        <v>0</v>
      </c>
      <c r="F47" s="205">
        <v>0</v>
      </c>
      <c r="G47" s="205">
        <v>0</v>
      </c>
      <c r="H47" s="205">
        <v>0</v>
      </c>
      <c r="I47" s="205">
        <v>0</v>
      </c>
      <c r="J47" s="205">
        <v>0</v>
      </c>
      <c r="K47" s="205">
        <v>88133</v>
      </c>
      <c r="L47" s="205">
        <v>0</v>
      </c>
      <c r="M47" s="205">
        <v>0</v>
      </c>
      <c r="N47" s="436">
        <v>176531</v>
      </c>
      <c r="O47" s="205">
        <v>23009</v>
      </c>
      <c r="P47" s="205">
        <v>0</v>
      </c>
      <c r="Q47" s="205">
        <v>0</v>
      </c>
      <c r="R47" s="205">
        <v>0</v>
      </c>
      <c r="S47" s="205">
        <v>0</v>
      </c>
      <c r="T47" s="205">
        <v>0</v>
      </c>
      <c r="U47" s="934"/>
      <c r="V47" s="874"/>
      <c r="W47" s="201" t="s">
        <v>632</v>
      </c>
      <c r="X47" s="205">
        <v>0</v>
      </c>
      <c r="Y47" s="205">
        <v>0</v>
      </c>
      <c r="Z47" s="205">
        <v>0</v>
      </c>
      <c r="AA47" s="205">
        <v>0</v>
      </c>
      <c r="AB47" s="205">
        <v>0</v>
      </c>
      <c r="AC47" s="205">
        <v>0</v>
      </c>
      <c r="AD47" s="205">
        <v>7067</v>
      </c>
      <c r="AE47" s="205">
        <v>33002</v>
      </c>
      <c r="AF47" s="205">
        <v>0</v>
      </c>
      <c r="AG47" s="205">
        <v>0</v>
      </c>
      <c r="AH47" s="205">
        <v>0</v>
      </c>
      <c r="AI47" s="205">
        <v>0</v>
      </c>
      <c r="AJ47" s="205">
        <v>0</v>
      </c>
      <c r="AK47" s="205">
        <v>3495</v>
      </c>
      <c r="AL47" s="205">
        <v>0</v>
      </c>
      <c r="AM47" s="436">
        <v>0</v>
      </c>
      <c r="AN47" s="436">
        <v>0</v>
      </c>
      <c r="AO47" s="934"/>
      <c r="AP47" s="874"/>
      <c r="AQ47" s="201" t="s">
        <v>632</v>
      </c>
      <c r="AR47" s="436">
        <v>0</v>
      </c>
      <c r="AS47" s="436">
        <v>0</v>
      </c>
      <c r="AT47" s="205">
        <v>19586</v>
      </c>
      <c r="AU47" s="436"/>
      <c r="AV47" s="436"/>
      <c r="AW47" s="436"/>
      <c r="AX47" s="205">
        <v>0</v>
      </c>
      <c r="AY47" s="436">
        <v>24275</v>
      </c>
      <c r="AZ47" s="436">
        <v>0</v>
      </c>
      <c r="BA47" s="436">
        <v>0</v>
      </c>
      <c r="BB47" s="436">
        <v>0</v>
      </c>
      <c r="BC47" s="436">
        <v>0</v>
      </c>
      <c r="BD47" s="436">
        <v>0</v>
      </c>
      <c r="BE47" s="436">
        <v>0</v>
      </c>
      <c r="BF47" s="436">
        <v>110199</v>
      </c>
      <c r="BG47" s="205">
        <v>0</v>
      </c>
      <c r="BH47" s="436">
        <v>3249</v>
      </c>
      <c r="BI47" s="934"/>
      <c r="BJ47" s="874"/>
      <c r="BK47" s="201" t="s">
        <v>632</v>
      </c>
      <c r="BL47" s="436">
        <v>0</v>
      </c>
      <c r="BM47" s="436">
        <v>0</v>
      </c>
      <c r="BN47" s="436">
        <v>0</v>
      </c>
      <c r="BO47" s="205">
        <v>0</v>
      </c>
      <c r="BP47" s="205">
        <v>0</v>
      </c>
      <c r="BQ47" s="205">
        <v>0</v>
      </c>
      <c r="BR47" s="436">
        <v>0</v>
      </c>
      <c r="BS47" s="436">
        <v>0</v>
      </c>
      <c r="BT47" s="436">
        <v>0</v>
      </c>
      <c r="BU47" s="436">
        <v>0</v>
      </c>
      <c r="BV47" s="189">
        <f t="shared" si="1"/>
        <v>488546</v>
      </c>
      <c r="BY47" s="435"/>
    </row>
    <row r="48" spans="1:77" ht="11.25" customHeight="1">
      <c r="A48" s="934"/>
      <c r="B48" s="874"/>
      <c r="C48" s="201" t="s">
        <v>633</v>
      </c>
      <c r="D48" s="205">
        <v>22204</v>
      </c>
      <c r="E48" s="205">
        <v>0</v>
      </c>
      <c r="F48" s="205">
        <v>45952</v>
      </c>
      <c r="G48" s="205">
        <v>13798</v>
      </c>
      <c r="H48" s="205">
        <v>0</v>
      </c>
      <c r="I48" s="205">
        <v>17069</v>
      </c>
      <c r="J48" s="205">
        <v>0</v>
      </c>
      <c r="K48" s="205">
        <v>21032</v>
      </c>
      <c r="L48" s="205">
        <v>9613</v>
      </c>
      <c r="M48" s="205">
        <v>0</v>
      </c>
      <c r="N48" s="436">
        <v>22194</v>
      </c>
      <c r="O48" s="205">
        <v>23538</v>
      </c>
      <c r="P48" s="205">
        <v>11038</v>
      </c>
      <c r="Q48" s="205">
        <v>0</v>
      </c>
      <c r="R48" s="205">
        <v>6545</v>
      </c>
      <c r="S48" s="205">
        <v>0</v>
      </c>
      <c r="T48" s="205">
        <v>0</v>
      </c>
      <c r="U48" s="934"/>
      <c r="V48" s="874"/>
      <c r="W48" s="201" t="s">
        <v>633</v>
      </c>
      <c r="X48" s="205">
        <v>0</v>
      </c>
      <c r="Y48" s="205">
        <v>0</v>
      </c>
      <c r="Z48" s="205">
        <v>0</v>
      </c>
      <c r="AA48" s="205">
        <v>0</v>
      </c>
      <c r="AB48" s="205">
        <v>42277</v>
      </c>
      <c r="AC48" s="205">
        <v>926</v>
      </c>
      <c r="AD48" s="205">
        <v>0</v>
      </c>
      <c r="AE48" s="205">
        <v>1857</v>
      </c>
      <c r="AF48" s="205">
        <v>13959</v>
      </c>
      <c r="AG48" s="205">
        <v>6175</v>
      </c>
      <c r="AH48" s="205">
        <v>1430</v>
      </c>
      <c r="AI48" s="205">
        <v>3190</v>
      </c>
      <c r="AJ48" s="205">
        <v>0</v>
      </c>
      <c r="AK48" s="205">
        <v>11649</v>
      </c>
      <c r="AL48" s="205">
        <v>5495</v>
      </c>
      <c r="AM48" s="436">
        <v>0</v>
      </c>
      <c r="AN48" s="436">
        <v>2340</v>
      </c>
      <c r="AO48" s="934"/>
      <c r="AP48" s="874"/>
      <c r="AQ48" s="201" t="s">
        <v>633</v>
      </c>
      <c r="AR48" s="436">
        <v>5200</v>
      </c>
      <c r="AS48" s="436">
        <v>0</v>
      </c>
      <c r="AT48" s="205">
        <v>80686</v>
      </c>
      <c r="AU48" s="436"/>
      <c r="AV48" s="436"/>
      <c r="AW48" s="436"/>
      <c r="AX48" s="205">
        <v>30913</v>
      </c>
      <c r="AY48" s="436">
        <v>59715</v>
      </c>
      <c r="AZ48" s="436">
        <v>0</v>
      </c>
      <c r="BA48" s="436">
        <v>908</v>
      </c>
      <c r="BB48" s="436">
        <v>5687</v>
      </c>
      <c r="BC48" s="436">
        <v>11485</v>
      </c>
      <c r="BD48" s="436">
        <v>25831</v>
      </c>
      <c r="BE48" s="436">
        <v>214978</v>
      </c>
      <c r="BF48" s="436">
        <v>96563</v>
      </c>
      <c r="BG48" s="205">
        <v>0</v>
      </c>
      <c r="BH48" s="436">
        <v>1685</v>
      </c>
      <c r="BI48" s="934"/>
      <c r="BJ48" s="874"/>
      <c r="BK48" s="201" t="s">
        <v>633</v>
      </c>
      <c r="BL48" s="436">
        <v>16110</v>
      </c>
      <c r="BM48" s="436">
        <v>0</v>
      </c>
      <c r="BN48" s="436">
        <v>7086</v>
      </c>
      <c r="BO48" s="205">
        <v>1932</v>
      </c>
      <c r="BP48" s="205">
        <v>568</v>
      </c>
      <c r="BQ48" s="205">
        <v>12673</v>
      </c>
      <c r="BR48" s="436">
        <v>4182</v>
      </c>
      <c r="BS48" s="436">
        <v>0</v>
      </c>
      <c r="BT48" s="436">
        <v>0</v>
      </c>
      <c r="BU48" s="436">
        <v>0</v>
      </c>
      <c r="BV48" s="189">
        <f t="shared" si="1"/>
        <v>858483</v>
      </c>
      <c r="BY48" s="435"/>
    </row>
    <row r="49" spans="1:77" s="435" customFormat="1" ht="11.25" customHeight="1">
      <c r="A49" s="934"/>
      <c r="B49" s="874"/>
      <c r="C49" s="201" t="s">
        <v>634</v>
      </c>
      <c r="D49" s="205">
        <v>4724</v>
      </c>
      <c r="E49" s="205">
        <v>0</v>
      </c>
      <c r="F49" s="205">
        <v>0</v>
      </c>
      <c r="G49" s="205">
        <v>0</v>
      </c>
      <c r="H49" s="205">
        <v>10</v>
      </c>
      <c r="I49" s="205">
        <v>116322</v>
      </c>
      <c r="J49" s="205">
        <v>0</v>
      </c>
      <c r="K49" s="205">
        <v>18179</v>
      </c>
      <c r="L49" s="205">
        <v>0</v>
      </c>
      <c r="M49" s="205">
        <v>0</v>
      </c>
      <c r="N49" s="436">
        <v>0</v>
      </c>
      <c r="O49" s="205">
        <v>0</v>
      </c>
      <c r="P49" s="205">
        <v>63643</v>
      </c>
      <c r="Q49" s="205">
        <v>1000</v>
      </c>
      <c r="R49" s="205">
        <v>3168</v>
      </c>
      <c r="S49" s="205">
        <v>0</v>
      </c>
      <c r="T49" s="205">
        <v>0</v>
      </c>
      <c r="U49" s="934"/>
      <c r="V49" s="874"/>
      <c r="W49" s="201" t="s">
        <v>634</v>
      </c>
      <c r="X49" s="205">
        <v>0</v>
      </c>
      <c r="Y49" s="205">
        <v>0</v>
      </c>
      <c r="Z49" s="205">
        <v>0</v>
      </c>
      <c r="AA49" s="205">
        <v>0</v>
      </c>
      <c r="AB49" s="205">
        <v>21319</v>
      </c>
      <c r="AC49" s="205">
        <v>0</v>
      </c>
      <c r="AD49" s="205">
        <v>0</v>
      </c>
      <c r="AE49" s="205">
        <v>0</v>
      </c>
      <c r="AF49" s="205">
        <v>0</v>
      </c>
      <c r="AG49" s="205">
        <v>7950</v>
      </c>
      <c r="AH49" s="205">
        <v>500</v>
      </c>
      <c r="AI49" s="205">
        <v>3333</v>
      </c>
      <c r="AJ49" s="205">
        <v>36640</v>
      </c>
      <c r="AK49" s="205">
        <v>0</v>
      </c>
      <c r="AL49" s="205">
        <v>0</v>
      </c>
      <c r="AM49" s="436">
        <v>0</v>
      </c>
      <c r="AN49" s="436">
        <v>0</v>
      </c>
      <c r="AO49" s="934"/>
      <c r="AP49" s="874"/>
      <c r="AQ49" s="201" t="s">
        <v>634</v>
      </c>
      <c r="AR49" s="436">
        <v>0</v>
      </c>
      <c r="AS49" s="436">
        <v>0</v>
      </c>
      <c r="AT49" s="205">
        <v>6443</v>
      </c>
      <c r="AU49" s="436"/>
      <c r="AV49" s="436"/>
      <c r="AW49" s="436"/>
      <c r="AX49" s="205">
        <v>0</v>
      </c>
      <c r="AY49" s="436">
        <v>0</v>
      </c>
      <c r="AZ49" s="436">
        <v>0</v>
      </c>
      <c r="BA49" s="436">
        <v>0</v>
      </c>
      <c r="BB49" s="436">
        <v>0</v>
      </c>
      <c r="BC49" s="436">
        <v>0</v>
      </c>
      <c r="BD49" s="436">
        <v>0</v>
      </c>
      <c r="BE49" s="436">
        <v>123</v>
      </c>
      <c r="BF49" s="436">
        <v>20925</v>
      </c>
      <c r="BG49" s="205">
        <v>3</v>
      </c>
      <c r="BH49" s="436">
        <v>0</v>
      </c>
      <c r="BI49" s="934"/>
      <c r="BJ49" s="874"/>
      <c r="BK49" s="201" t="s">
        <v>634</v>
      </c>
      <c r="BL49" s="436">
        <v>0</v>
      </c>
      <c r="BM49" s="436">
        <v>0</v>
      </c>
      <c r="BN49" s="436">
        <v>0</v>
      </c>
      <c r="BO49" s="205">
        <v>0</v>
      </c>
      <c r="BP49" s="205">
        <v>0</v>
      </c>
      <c r="BQ49" s="205">
        <v>1114</v>
      </c>
      <c r="BR49" s="436">
        <v>0</v>
      </c>
      <c r="BS49" s="436">
        <v>2602</v>
      </c>
      <c r="BT49" s="436">
        <v>507</v>
      </c>
      <c r="BU49" s="436">
        <v>0</v>
      </c>
      <c r="BV49" s="189">
        <f t="shared" si="1"/>
        <v>308505</v>
      </c>
    </row>
    <row r="50" spans="1:77" ht="11.25" customHeight="1">
      <c r="A50" s="934"/>
      <c r="B50" s="874"/>
      <c r="C50" s="201" t="s">
        <v>635</v>
      </c>
      <c r="D50" s="191">
        <v>188735</v>
      </c>
      <c r="E50" s="191">
        <v>4397</v>
      </c>
      <c r="F50" s="191">
        <v>50452</v>
      </c>
      <c r="G50" s="191">
        <v>13798</v>
      </c>
      <c r="H50" s="191">
        <v>10</v>
      </c>
      <c r="I50" s="191">
        <v>156777</v>
      </c>
      <c r="J50" s="191">
        <v>0</v>
      </c>
      <c r="K50" s="191">
        <v>784559</v>
      </c>
      <c r="L50" s="191">
        <v>41375</v>
      </c>
      <c r="M50" s="191">
        <v>38330</v>
      </c>
      <c r="N50" s="191">
        <v>859125</v>
      </c>
      <c r="O50" s="191">
        <v>223486</v>
      </c>
      <c r="P50" s="191">
        <v>74681</v>
      </c>
      <c r="Q50" s="191">
        <v>61000</v>
      </c>
      <c r="R50" s="191">
        <v>12029</v>
      </c>
      <c r="S50" s="191">
        <v>0</v>
      </c>
      <c r="T50" s="191">
        <v>0</v>
      </c>
      <c r="U50" s="934"/>
      <c r="V50" s="874"/>
      <c r="W50" s="201" t="s">
        <v>635</v>
      </c>
      <c r="X50" s="191">
        <v>0</v>
      </c>
      <c r="Y50" s="191">
        <v>0</v>
      </c>
      <c r="Z50" s="191">
        <v>0</v>
      </c>
      <c r="AA50" s="191">
        <v>0</v>
      </c>
      <c r="AB50" s="191">
        <v>338707</v>
      </c>
      <c r="AC50" s="191">
        <v>98353</v>
      </c>
      <c r="AD50" s="191">
        <v>46867</v>
      </c>
      <c r="AE50" s="191">
        <v>151559</v>
      </c>
      <c r="AF50" s="191">
        <v>148159</v>
      </c>
      <c r="AG50" s="191">
        <v>14125</v>
      </c>
      <c r="AH50" s="191">
        <v>24656</v>
      </c>
      <c r="AI50" s="191">
        <v>6523</v>
      </c>
      <c r="AJ50" s="191">
        <v>665724</v>
      </c>
      <c r="AK50" s="191">
        <v>26610</v>
      </c>
      <c r="AL50" s="191">
        <v>5495</v>
      </c>
      <c r="AM50" s="191">
        <v>95689</v>
      </c>
      <c r="AN50" s="191">
        <v>90800</v>
      </c>
      <c r="AO50" s="934"/>
      <c r="AP50" s="874"/>
      <c r="AQ50" s="201" t="s">
        <v>635</v>
      </c>
      <c r="AR50" s="191">
        <v>21410</v>
      </c>
      <c r="AS50" s="191">
        <v>758700</v>
      </c>
      <c r="AT50" s="191">
        <v>934714</v>
      </c>
      <c r="AU50" s="191"/>
      <c r="AV50" s="191"/>
      <c r="AW50" s="191"/>
      <c r="AX50" s="191">
        <v>171489</v>
      </c>
      <c r="AY50" s="191">
        <v>258023</v>
      </c>
      <c r="AZ50" s="191">
        <v>2290</v>
      </c>
      <c r="BA50" s="191">
        <v>1716</v>
      </c>
      <c r="BB50" s="191">
        <v>5687</v>
      </c>
      <c r="BC50" s="191">
        <v>11485</v>
      </c>
      <c r="BD50" s="191">
        <v>45678</v>
      </c>
      <c r="BE50" s="191">
        <v>1425501</v>
      </c>
      <c r="BF50" s="191">
        <v>2380486</v>
      </c>
      <c r="BG50" s="191">
        <v>66054</v>
      </c>
      <c r="BH50" s="191">
        <v>33810</v>
      </c>
      <c r="BI50" s="934"/>
      <c r="BJ50" s="874"/>
      <c r="BK50" s="201" t="s">
        <v>635</v>
      </c>
      <c r="BL50" s="191">
        <v>16110</v>
      </c>
      <c r="BM50" s="191">
        <v>50444</v>
      </c>
      <c r="BN50" s="191">
        <v>10920</v>
      </c>
      <c r="BO50" s="191">
        <v>1932</v>
      </c>
      <c r="BP50" s="191">
        <v>568</v>
      </c>
      <c r="BQ50" s="191">
        <v>144933</v>
      </c>
      <c r="BR50" s="191">
        <v>53707</v>
      </c>
      <c r="BS50" s="191">
        <v>168712</v>
      </c>
      <c r="BT50" s="191">
        <v>6477</v>
      </c>
      <c r="BU50" s="191">
        <v>0</v>
      </c>
      <c r="BV50" s="189">
        <f t="shared" si="1"/>
        <v>10792867</v>
      </c>
      <c r="BY50" s="435"/>
    </row>
    <row r="51" spans="1:77" ht="11.25" customHeight="1">
      <c r="A51" s="934"/>
      <c r="B51" s="874"/>
      <c r="C51" s="201" t="s">
        <v>636</v>
      </c>
      <c r="D51" s="205">
        <v>0</v>
      </c>
      <c r="E51" s="205">
        <v>0</v>
      </c>
      <c r="F51" s="205">
        <v>0</v>
      </c>
      <c r="G51" s="205">
        <v>0</v>
      </c>
      <c r="H51" s="205">
        <v>0</v>
      </c>
      <c r="I51" s="205">
        <v>0</v>
      </c>
      <c r="J51" s="205">
        <v>0</v>
      </c>
      <c r="K51" s="205">
        <v>0</v>
      </c>
      <c r="L51" s="205">
        <v>0</v>
      </c>
      <c r="M51" s="205">
        <v>0</v>
      </c>
      <c r="N51" s="436">
        <v>0</v>
      </c>
      <c r="O51" s="205">
        <v>0</v>
      </c>
      <c r="P51" s="205">
        <v>0</v>
      </c>
      <c r="Q51" s="205">
        <v>0</v>
      </c>
      <c r="R51" s="205">
        <v>0</v>
      </c>
      <c r="S51" s="205">
        <v>0</v>
      </c>
      <c r="T51" s="205">
        <v>0</v>
      </c>
      <c r="U51" s="934"/>
      <c r="V51" s="874"/>
      <c r="W51" s="201" t="s">
        <v>636</v>
      </c>
      <c r="X51" s="205">
        <v>0</v>
      </c>
      <c r="Y51" s="205">
        <v>0</v>
      </c>
      <c r="Z51" s="205">
        <v>0</v>
      </c>
      <c r="AA51" s="205">
        <v>0</v>
      </c>
      <c r="AB51" s="205">
        <v>0</v>
      </c>
      <c r="AC51" s="205">
        <v>0</v>
      </c>
      <c r="AD51" s="205">
        <v>0</v>
      </c>
      <c r="AE51" s="205">
        <v>0</v>
      </c>
      <c r="AF51" s="205">
        <v>0</v>
      </c>
      <c r="AG51" s="205">
        <v>0</v>
      </c>
      <c r="AH51" s="205">
        <v>0</v>
      </c>
      <c r="AI51" s="205">
        <v>0</v>
      </c>
      <c r="AJ51" s="205">
        <v>0</v>
      </c>
      <c r="AK51" s="205">
        <v>0</v>
      </c>
      <c r="AL51" s="205">
        <v>0</v>
      </c>
      <c r="AM51" s="436">
        <v>0</v>
      </c>
      <c r="AN51" s="436">
        <v>0</v>
      </c>
      <c r="AO51" s="934"/>
      <c r="AP51" s="874"/>
      <c r="AQ51" s="201" t="s">
        <v>636</v>
      </c>
      <c r="AR51" s="436">
        <v>0</v>
      </c>
      <c r="AS51" s="436">
        <v>0</v>
      </c>
      <c r="AT51" s="205">
        <v>0</v>
      </c>
      <c r="AU51" s="436"/>
      <c r="AV51" s="436"/>
      <c r="AW51" s="436"/>
      <c r="AX51" s="205">
        <v>0</v>
      </c>
      <c r="AY51" s="436">
        <v>0</v>
      </c>
      <c r="AZ51" s="436">
        <v>0</v>
      </c>
      <c r="BA51" s="436">
        <v>0</v>
      </c>
      <c r="BB51" s="436">
        <v>0</v>
      </c>
      <c r="BC51" s="436">
        <v>0</v>
      </c>
      <c r="BD51" s="436">
        <v>0</v>
      </c>
      <c r="BE51" s="436">
        <v>0</v>
      </c>
      <c r="BF51" s="436">
        <v>0</v>
      </c>
      <c r="BG51" s="205">
        <v>0</v>
      </c>
      <c r="BH51" s="436">
        <v>0</v>
      </c>
      <c r="BI51" s="934"/>
      <c r="BJ51" s="874"/>
      <c r="BK51" s="201" t="s">
        <v>636</v>
      </c>
      <c r="BL51" s="436">
        <v>0</v>
      </c>
      <c r="BM51" s="436">
        <v>0</v>
      </c>
      <c r="BN51" s="436">
        <v>0</v>
      </c>
      <c r="BO51" s="205">
        <v>0</v>
      </c>
      <c r="BP51" s="205">
        <v>0</v>
      </c>
      <c r="BQ51" s="205">
        <v>0</v>
      </c>
      <c r="BR51" s="436">
        <v>0</v>
      </c>
      <c r="BS51" s="436">
        <v>0</v>
      </c>
      <c r="BT51" s="436">
        <v>0</v>
      </c>
      <c r="BU51" s="436">
        <v>0</v>
      </c>
      <c r="BV51" s="189">
        <f t="shared" si="1"/>
        <v>0</v>
      </c>
      <c r="BY51" s="435"/>
    </row>
    <row r="52" spans="1:77" s="435" customFormat="1" ht="11.25" customHeight="1">
      <c r="A52" s="934"/>
      <c r="B52" s="874"/>
      <c r="C52" s="201" t="s">
        <v>637</v>
      </c>
      <c r="D52" s="205">
        <v>0</v>
      </c>
      <c r="E52" s="205">
        <v>0</v>
      </c>
      <c r="F52" s="205">
        <v>0</v>
      </c>
      <c r="G52" s="205">
        <v>0</v>
      </c>
      <c r="H52" s="205">
        <v>0</v>
      </c>
      <c r="I52" s="205">
        <v>0</v>
      </c>
      <c r="J52" s="205">
        <v>0</v>
      </c>
      <c r="K52" s="205">
        <v>0</v>
      </c>
      <c r="L52" s="205">
        <v>0</v>
      </c>
      <c r="M52" s="205">
        <v>0</v>
      </c>
      <c r="N52" s="436">
        <v>0</v>
      </c>
      <c r="O52" s="205">
        <v>0</v>
      </c>
      <c r="P52" s="205">
        <v>0</v>
      </c>
      <c r="Q52" s="205">
        <v>0</v>
      </c>
      <c r="R52" s="205">
        <v>0</v>
      </c>
      <c r="S52" s="205">
        <v>0</v>
      </c>
      <c r="T52" s="205">
        <v>0</v>
      </c>
      <c r="U52" s="934"/>
      <c r="V52" s="874"/>
      <c r="W52" s="201" t="s">
        <v>637</v>
      </c>
      <c r="X52" s="205">
        <v>0</v>
      </c>
      <c r="Y52" s="205">
        <v>0</v>
      </c>
      <c r="Z52" s="205">
        <v>0</v>
      </c>
      <c r="AA52" s="205">
        <v>0</v>
      </c>
      <c r="AB52" s="205">
        <v>0</v>
      </c>
      <c r="AC52" s="205">
        <v>0</v>
      </c>
      <c r="AD52" s="205">
        <v>0</v>
      </c>
      <c r="AE52" s="205">
        <v>0</v>
      </c>
      <c r="AF52" s="205">
        <v>0</v>
      </c>
      <c r="AG52" s="205">
        <v>0</v>
      </c>
      <c r="AH52" s="205">
        <v>0</v>
      </c>
      <c r="AI52" s="205">
        <v>0</v>
      </c>
      <c r="AJ52" s="205">
        <v>0</v>
      </c>
      <c r="AK52" s="205">
        <v>0</v>
      </c>
      <c r="AL52" s="205">
        <v>0</v>
      </c>
      <c r="AM52" s="436">
        <v>0</v>
      </c>
      <c r="AN52" s="436">
        <v>0</v>
      </c>
      <c r="AO52" s="934"/>
      <c r="AP52" s="874"/>
      <c r="AQ52" s="201" t="s">
        <v>637</v>
      </c>
      <c r="AR52" s="436">
        <v>0</v>
      </c>
      <c r="AS52" s="436">
        <v>0</v>
      </c>
      <c r="AT52" s="205">
        <v>0</v>
      </c>
      <c r="AU52" s="436"/>
      <c r="AV52" s="436"/>
      <c r="AW52" s="436"/>
      <c r="AX52" s="205">
        <v>0</v>
      </c>
      <c r="AY52" s="436">
        <v>0</v>
      </c>
      <c r="AZ52" s="436">
        <v>0</v>
      </c>
      <c r="BA52" s="436">
        <v>0</v>
      </c>
      <c r="BB52" s="436">
        <v>0</v>
      </c>
      <c r="BC52" s="436">
        <v>0</v>
      </c>
      <c r="BD52" s="436">
        <v>0</v>
      </c>
      <c r="BE52" s="436">
        <v>0</v>
      </c>
      <c r="BF52" s="436">
        <v>0</v>
      </c>
      <c r="BG52" s="205">
        <v>0</v>
      </c>
      <c r="BH52" s="436">
        <v>0</v>
      </c>
      <c r="BI52" s="934"/>
      <c r="BJ52" s="874"/>
      <c r="BK52" s="201" t="s">
        <v>637</v>
      </c>
      <c r="BL52" s="436">
        <v>0</v>
      </c>
      <c r="BM52" s="436">
        <v>0</v>
      </c>
      <c r="BN52" s="436">
        <v>0</v>
      </c>
      <c r="BO52" s="205">
        <v>0</v>
      </c>
      <c r="BP52" s="205">
        <v>0</v>
      </c>
      <c r="BQ52" s="205">
        <v>0</v>
      </c>
      <c r="BR52" s="436">
        <v>0</v>
      </c>
      <c r="BS52" s="436">
        <v>0</v>
      </c>
      <c r="BT52" s="436">
        <v>0</v>
      </c>
      <c r="BU52" s="436">
        <v>0</v>
      </c>
      <c r="BV52" s="189">
        <f t="shared" si="1"/>
        <v>0</v>
      </c>
    </row>
    <row r="53" spans="1:77" ht="11.25" customHeight="1">
      <c r="A53" s="934"/>
      <c r="B53" s="874"/>
      <c r="C53" s="201" t="s">
        <v>638</v>
      </c>
      <c r="D53" s="191">
        <v>188735</v>
      </c>
      <c r="E53" s="191">
        <v>4397</v>
      </c>
      <c r="F53" s="191">
        <v>50452</v>
      </c>
      <c r="G53" s="191">
        <v>13798</v>
      </c>
      <c r="H53" s="191">
        <v>10</v>
      </c>
      <c r="I53" s="191">
        <v>156777</v>
      </c>
      <c r="J53" s="191">
        <v>0</v>
      </c>
      <c r="K53" s="191">
        <v>784559</v>
      </c>
      <c r="L53" s="191">
        <v>41375</v>
      </c>
      <c r="M53" s="191">
        <v>38330</v>
      </c>
      <c r="N53" s="191">
        <v>859125</v>
      </c>
      <c r="O53" s="191">
        <v>223486</v>
      </c>
      <c r="P53" s="191">
        <v>74681</v>
      </c>
      <c r="Q53" s="191">
        <v>61000</v>
      </c>
      <c r="R53" s="191">
        <v>12029</v>
      </c>
      <c r="S53" s="191">
        <v>0</v>
      </c>
      <c r="T53" s="191">
        <v>0</v>
      </c>
      <c r="U53" s="934"/>
      <c r="V53" s="874"/>
      <c r="W53" s="201" t="s">
        <v>638</v>
      </c>
      <c r="X53" s="191">
        <v>0</v>
      </c>
      <c r="Y53" s="191">
        <v>0</v>
      </c>
      <c r="Z53" s="191">
        <v>0</v>
      </c>
      <c r="AA53" s="191">
        <v>0</v>
      </c>
      <c r="AB53" s="191">
        <v>338707</v>
      </c>
      <c r="AC53" s="191">
        <v>98353</v>
      </c>
      <c r="AD53" s="191">
        <v>46867</v>
      </c>
      <c r="AE53" s="191">
        <v>151559</v>
      </c>
      <c r="AF53" s="191">
        <v>148159</v>
      </c>
      <c r="AG53" s="191">
        <v>14125</v>
      </c>
      <c r="AH53" s="191">
        <v>24656</v>
      </c>
      <c r="AI53" s="191">
        <v>6523</v>
      </c>
      <c r="AJ53" s="191">
        <v>665724</v>
      </c>
      <c r="AK53" s="191">
        <v>26610</v>
      </c>
      <c r="AL53" s="191">
        <v>5495</v>
      </c>
      <c r="AM53" s="191">
        <v>95689</v>
      </c>
      <c r="AN53" s="191">
        <v>90800</v>
      </c>
      <c r="AO53" s="934"/>
      <c r="AP53" s="874"/>
      <c r="AQ53" s="201" t="s">
        <v>638</v>
      </c>
      <c r="AR53" s="191">
        <v>21410</v>
      </c>
      <c r="AS53" s="191">
        <v>758700</v>
      </c>
      <c r="AT53" s="191">
        <v>934714</v>
      </c>
      <c r="AU53" s="191"/>
      <c r="AV53" s="191"/>
      <c r="AW53" s="191"/>
      <c r="AX53" s="191">
        <v>171489</v>
      </c>
      <c r="AY53" s="191">
        <v>258023</v>
      </c>
      <c r="AZ53" s="191">
        <v>2290</v>
      </c>
      <c r="BA53" s="191">
        <v>1716</v>
      </c>
      <c r="BB53" s="191">
        <v>5687</v>
      </c>
      <c r="BC53" s="191">
        <v>11485</v>
      </c>
      <c r="BD53" s="191">
        <v>45678</v>
      </c>
      <c r="BE53" s="191">
        <v>1425501</v>
      </c>
      <c r="BF53" s="191">
        <v>2380486</v>
      </c>
      <c r="BG53" s="191">
        <v>66054</v>
      </c>
      <c r="BH53" s="191">
        <v>33810</v>
      </c>
      <c r="BI53" s="934"/>
      <c r="BJ53" s="874"/>
      <c r="BK53" s="201" t="s">
        <v>638</v>
      </c>
      <c r="BL53" s="191">
        <v>16110</v>
      </c>
      <c r="BM53" s="191">
        <v>50444</v>
      </c>
      <c r="BN53" s="191">
        <v>10920</v>
      </c>
      <c r="BO53" s="191">
        <v>1932</v>
      </c>
      <c r="BP53" s="191">
        <v>568</v>
      </c>
      <c r="BQ53" s="191">
        <v>144933</v>
      </c>
      <c r="BR53" s="191">
        <v>53707</v>
      </c>
      <c r="BS53" s="191">
        <v>168712</v>
      </c>
      <c r="BT53" s="191">
        <v>6477</v>
      </c>
      <c r="BU53" s="191">
        <v>0</v>
      </c>
      <c r="BV53" s="189">
        <f t="shared" si="1"/>
        <v>10792867</v>
      </c>
      <c r="BY53" s="435"/>
    </row>
    <row r="54" spans="1:77" ht="11.25" customHeight="1">
      <c r="A54" s="934"/>
      <c r="B54" s="875" t="s">
        <v>639</v>
      </c>
      <c r="C54" s="201" t="s">
        <v>640</v>
      </c>
      <c r="D54" s="443">
        <v>109876</v>
      </c>
      <c r="E54" s="443">
        <v>0</v>
      </c>
      <c r="F54" s="443">
        <v>122584</v>
      </c>
      <c r="G54" s="443">
        <v>62365</v>
      </c>
      <c r="H54" s="443">
        <v>8129</v>
      </c>
      <c r="I54" s="443">
        <v>0</v>
      </c>
      <c r="J54" s="443">
        <v>0</v>
      </c>
      <c r="K54" s="443">
        <v>583464</v>
      </c>
      <c r="L54" s="443">
        <v>1958</v>
      </c>
      <c r="M54" s="443">
        <v>0</v>
      </c>
      <c r="N54" s="444">
        <v>1156745</v>
      </c>
      <c r="O54" s="443">
        <v>6080</v>
      </c>
      <c r="P54" s="443">
        <v>35223</v>
      </c>
      <c r="Q54" s="443">
        <v>0</v>
      </c>
      <c r="R54" s="443">
        <v>55968</v>
      </c>
      <c r="S54" s="443">
        <v>0</v>
      </c>
      <c r="T54" s="443">
        <v>0</v>
      </c>
      <c r="U54" s="934"/>
      <c r="V54" s="875" t="s">
        <v>639</v>
      </c>
      <c r="W54" s="201" t="s">
        <v>640</v>
      </c>
      <c r="X54" s="443">
        <v>0</v>
      </c>
      <c r="Y54" s="443">
        <v>0</v>
      </c>
      <c r="Z54" s="443">
        <v>0</v>
      </c>
      <c r="AA54" s="443">
        <v>0</v>
      </c>
      <c r="AB54" s="443">
        <v>17260</v>
      </c>
      <c r="AC54" s="443">
        <v>0</v>
      </c>
      <c r="AD54" s="443">
        <v>0</v>
      </c>
      <c r="AE54" s="443">
        <v>0</v>
      </c>
      <c r="AF54" s="443">
        <v>0</v>
      </c>
      <c r="AG54" s="443">
        <v>18341</v>
      </c>
      <c r="AH54" s="443">
        <v>0</v>
      </c>
      <c r="AI54" s="443">
        <v>0</v>
      </c>
      <c r="AJ54" s="443">
        <v>762635</v>
      </c>
      <c r="AK54" s="443">
        <v>26890</v>
      </c>
      <c r="AL54" s="443">
        <v>0</v>
      </c>
      <c r="AM54" s="444">
        <v>0</v>
      </c>
      <c r="AN54" s="444">
        <v>0</v>
      </c>
      <c r="AO54" s="934"/>
      <c r="AP54" s="875" t="s">
        <v>639</v>
      </c>
      <c r="AQ54" s="201" t="s">
        <v>640</v>
      </c>
      <c r="AR54" s="444">
        <v>0</v>
      </c>
      <c r="AS54" s="444">
        <v>0</v>
      </c>
      <c r="AT54" s="443">
        <v>69852</v>
      </c>
      <c r="AU54" s="444"/>
      <c r="AV54" s="444"/>
      <c r="AW54" s="444"/>
      <c r="AX54" s="443">
        <v>0</v>
      </c>
      <c r="AY54" s="444">
        <v>440308</v>
      </c>
      <c r="AZ54" s="444">
        <v>5334</v>
      </c>
      <c r="BA54" s="444">
        <v>25051</v>
      </c>
      <c r="BB54" s="444">
        <v>0</v>
      </c>
      <c r="BC54" s="444">
        <v>0</v>
      </c>
      <c r="BD54" s="444">
        <v>0</v>
      </c>
      <c r="BE54" s="444">
        <v>0</v>
      </c>
      <c r="BF54" s="444">
        <v>1742896</v>
      </c>
      <c r="BG54" s="443">
        <v>105843</v>
      </c>
      <c r="BH54" s="444">
        <v>0</v>
      </c>
      <c r="BI54" s="934"/>
      <c r="BJ54" s="875" t="s">
        <v>639</v>
      </c>
      <c r="BK54" s="201" t="s">
        <v>640</v>
      </c>
      <c r="BL54" s="444">
        <v>0</v>
      </c>
      <c r="BM54" s="444">
        <v>0</v>
      </c>
      <c r="BN54" s="444">
        <v>0</v>
      </c>
      <c r="BO54" s="443">
        <v>0</v>
      </c>
      <c r="BP54" s="443">
        <v>0</v>
      </c>
      <c r="BQ54" s="443">
        <v>95458</v>
      </c>
      <c r="BR54" s="444">
        <v>0</v>
      </c>
      <c r="BS54" s="444">
        <v>0</v>
      </c>
      <c r="BT54" s="444">
        <v>0</v>
      </c>
      <c r="BU54" s="444">
        <v>0</v>
      </c>
      <c r="BV54" s="200">
        <f t="shared" si="1"/>
        <v>5452260</v>
      </c>
      <c r="BY54" s="435"/>
    </row>
    <row r="55" spans="1:77" ht="11.25" customHeight="1">
      <c r="A55" s="934"/>
      <c r="B55" s="876"/>
      <c r="C55" s="201" t="s">
        <v>641</v>
      </c>
      <c r="D55" s="205">
        <v>184333</v>
      </c>
      <c r="E55" s="205">
        <v>25713</v>
      </c>
      <c r="F55" s="205">
        <v>192465</v>
      </c>
      <c r="G55" s="205">
        <v>0</v>
      </c>
      <c r="H55" s="205">
        <v>93861</v>
      </c>
      <c r="I55" s="205">
        <v>1515312</v>
      </c>
      <c r="J55" s="205">
        <v>0</v>
      </c>
      <c r="K55" s="205">
        <v>878037</v>
      </c>
      <c r="L55" s="205">
        <v>73164</v>
      </c>
      <c r="M55" s="205">
        <v>1237</v>
      </c>
      <c r="N55" s="436">
        <v>342256</v>
      </c>
      <c r="O55" s="205">
        <v>514908</v>
      </c>
      <c r="P55" s="205">
        <v>651438</v>
      </c>
      <c r="Q55" s="205">
        <v>74193</v>
      </c>
      <c r="R55" s="205">
        <v>194833</v>
      </c>
      <c r="S55" s="205">
        <v>46156</v>
      </c>
      <c r="T55" s="205">
        <v>0</v>
      </c>
      <c r="U55" s="934"/>
      <c r="V55" s="876"/>
      <c r="W55" s="201" t="s">
        <v>641</v>
      </c>
      <c r="X55" s="205">
        <v>0</v>
      </c>
      <c r="Y55" s="205">
        <v>0</v>
      </c>
      <c r="Z55" s="205">
        <v>15000</v>
      </c>
      <c r="AA55" s="205">
        <v>0</v>
      </c>
      <c r="AB55" s="205">
        <v>275127</v>
      </c>
      <c r="AC55" s="205">
        <v>155700</v>
      </c>
      <c r="AD55" s="205">
        <v>83957</v>
      </c>
      <c r="AE55" s="205">
        <v>199748</v>
      </c>
      <c r="AF55" s="205">
        <v>156403</v>
      </c>
      <c r="AG55" s="205">
        <v>23527</v>
      </c>
      <c r="AH55" s="205">
        <v>60391</v>
      </c>
      <c r="AI55" s="205">
        <v>28520</v>
      </c>
      <c r="AJ55" s="205">
        <v>429508</v>
      </c>
      <c r="AK55" s="205">
        <v>62679</v>
      </c>
      <c r="AL55" s="205">
        <v>72308</v>
      </c>
      <c r="AM55" s="436">
        <v>72054</v>
      </c>
      <c r="AN55" s="436">
        <v>71824</v>
      </c>
      <c r="AO55" s="934"/>
      <c r="AP55" s="876"/>
      <c r="AQ55" s="201" t="s">
        <v>641</v>
      </c>
      <c r="AR55" s="436">
        <v>21057</v>
      </c>
      <c r="AS55" s="436">
        <v>764085</v>
      </c>
      <c r="AT55" s="205">
        <v>2015690</v>
      </c>
      <c r="AU55" s="436"/>
      <c r="AV55" s="436"/>
      <c r="AW55" s="436"/>
      <c r="AX55" s="205">
        <v>398701</v>
      </c>
      <c r="AY55" s="436">
        <v>746596</v>
      </c>
      <c r="AZ55" s="436">
        <v>40606</v>
      </c>
      <c r="BA55" s="436">
        <v>77740</v>
      </c>
      <c r="BB55" s="436">
        <v>60299</v>
      </c>
      <c r="BC55" s="436">
        <v>25696</v>
      </c>
      <c r="BD55" s="436">
        <v>73069</v>
      </c>
      <c r="BE55" s="436">
        <v>1831020</v>
      </c>
      <c r="BF55" s="436">
        <v>2755261</v>
      </c>
      <c r="BG55" s="205">
        <v>218890</v>
      </c>
      <c r="BH55" s="436">
        <v>34725</v>
      </c>
      <c r="BI55" s="934"/>
      <c r="BJ55" s="876"/>
      <c r="BK55" s="201" t="s">
        <v>641</v>
      </c>
      <c r="BL55" s="436">
        <v>29706</v>
      </c>
      <c r="BM55" s="436">
        <v>22425</v>
      </c>
      <c r="BN55" s="436">
        <v>57276</v>
      </c>
      <c r="BO55" s="205">
        <v>130474</v>
      </c>
      <c r="BP55" s="205">
        <v>34962</v>
      </c>
      <c r="BQ55" s="205">
        <v>113844</v>
      </c>
      <c r="BR55" s="436">
        <v>52725</v>
      </c>
      <c r="BS55" s="436">
        <v>177217</v>
      </c>
      <c r="BT55" s="436">
        <v>18419</v>
      </c>
      <c r="BU55" s="436">
        <v>7370</v>
      </c>
      <c r="BV55" s="189">
        <f t="shared" si="1"/>
        <v>16202505</v>
      </c>
      <c r="BY55" s="435"/>
    </row>
    <row r="56" spans="1:77" ht="11.25" customHeight="1">
      <c r="A56" s="934"/>
      <c r="B56" s="876"/>
      <c r="C56" s="201" t="s">
        <v>642</v>
      </c>
      <c r="D56" s="205">
        <v>163338</v>
      </c>
      <c r="E56" s="205">
        <v>11532</v>
      </c>
      <c r="F56" s="205">
        <v>134327</v>
      </c>
      <c r="G56" s="205">
        <v>34641</v>
      </c>
      <c r="H56" s="205">
        <v>61938</v>
      </c>
      <c r="I56" s="205">
        <v>401375</v>
      </c>
      <c r="J56" s="205">
        <v>0</v>
      </c>
      <c r="K56" s="205">
        <v>591178</v>
      </c>
      <c r="L56" s="205">
        <v>273455</v>
      </c>
      <c r="M56" s="205">
        <v>72570</v>
      </c>
      <c r="N56" s="436">
        <v>130123</v>
      </c>
      <c r="O56" s="205">
        <v>168096</v>
      </c>
      <c r="P56" s="205">
        <v>88269</v>
      </c>
      <c r="Q56" s="205">
        <v>64088</v>
      </c>
      <c r="R56" s="205">
        <v>86206</v>
      </c>
      <c r="S56" s="205">
        <v>7874</v>
      </c>
      <c r="T56" s="205">
        <v>0</v>
      </c>
      <c r="U56" s="934"/>
      <c r="V56" s="876"/>
      <c r="W56" s="201" t="s">
        <v>642</v>
      </c>
      <c r="X56" s="205">
        <v>0</v>
      </c>
      <c r="Y56" s="205">
        <v>0</v>
      </c>
      <c r="Z56" s="205">
        <v>0</v>
      </c>
      <c r="AA56" s="205">
        <v>0</v>
      </c>
      <c r="AB56" s="205">
        <v>579338</v>
      </c>
      <c r="AC56" s="205">
        <v>199841</v>
      </c>
      <c r="AD56" s="205">
        <v>139465</v>
      </c>
      <c r="AE56" s="205">
        <v>99415</v>
      </c>
      <c r="AF56" s="205">
        <v>115454</v>
      </c>
      <c r="AG56" s="205">
        <v>20892</v>
      </c>
      <c r="AH56" s="205">
        <v>2880</v>
      </c>
      <c r="AI56" s="205">
        <v>40626</v>
      </c>
      <c r="AJ56" s="205">
        <v>536902</v>
      </c>
      <c r="AK56" s="205">
        <v>66880</v>
      </c>
      <c r="AL56" s="205">
        <v>0</v>
      </c>
      <c r="AM56" s="436">
        <v>70303</v>
      </c>
      <c r="AN56" s="436">
        <v>25647</v>
      </c>
      <c r="AO56" s="934"/>
      <c r="AP56" s="876"/>
      <c r="AQ56" s="201" t="s">
        <v>642</v>
      </c>
      <c r="AR56" s="436">
        <v>36389</v>
      </c>
      <c r="AS56" s="436">
        <v>77862</v>
      </c>
      <c r="AT56" s="205">
        <v>715354</v>
      </c>
      <c r="AU56" s="436"/>
      <c r="AV56" s="436"/>
      <c r="AW56" s="436"/>
      <c r="AX56" s="205">
        <v>377210</v>
      </c>
      <c r="AY56" s="436">
        <v>587015</v>
      </c>
      <c r="AZ56" s="436">
        <v>22208</v>
      </c>
      <c r="BA56" s="436">
        <v>149595</v>
      </c>
      <c r="BB56" s="436">
        <v>56218</v>
      </c>
      <c r="BC56" s="436">
        <v>88914</v>
      </c>
      <c r="BD56" s="436">
        <v>57983</v>
      </c>
      <c r="BE56" s="436">
        <v>1378770</v>
      </c>
      <c r="BF56" s="436">
        <v>1715960</v>
      </c>
      <c r="BG56" s="205">
        <v>312186</v>
      </c>
      <c r="BH56" s="436">
        <v>25002</v>
      </c>
      <c r="BI56" s="934"/>
      <c r="BJ56" s="876"/>
      <c r="BK56" s="201" t="s">
        <v>642</v>
      </c>
      <c r="BL56" s="436">
        <v>51286</v>
      </c>
      <c r="BM56" s="436">
        <v>34053</v>
      </c>
      <c r="BN56" s="436">
        <v>52727</v>
      </c>
      <c r="BO56" s="205">
        <v>56084</v>
      </c>
      <c r="BP56" s="205">
        <v>39398</v>
      </c>
      <c r="BQ56" s="205">
        <v>239950</v>
      </c>
      <c r="BR56" s="436">
        <v>187055</v>
      </c>
      <c r="BS56" s="436">
        <v>167067</v>
      </c>
      <c r="BT56" s="436">
        <v>14075</v>
      </c>
      <c r="BU56" s="436">
        <v>38286</v>
      </c>
      <c r="BV56" s="189">
        <f t="shared" si="1"/>
        <v>10667300</v>
      </c>
      <c r="BY56" s="435"/>
    </row>
    <row r="57" spans="1:77" s="435" customFormat="1" ht="11.25" customHeight="1">
      <c r="A57" s="934"/>
      <c r="B57" s="876"/>
      <c r="C57" s="201" t="s">
        <v>643</v>
      </c>
      <c r="D57" s="191">
        <v>0</v>
      </c>
      <c r="E57" s="191">
        <v>0</v>
      </c>
      <c r="F57" s="191">
        <v>0</v>
      </c>
      <c r="G57" s="191">
        <v>0</v>
      </c>
      <c r="H57" s="191">
        <v>0</v>
      </c>
      <c r="I57" s="191">
        <v>0</v>
      </c>
      <c r="J57" s="191">
        <v>0</v>
      </c>
      <c r="K57" s="191">
        <v>0</v>
      </c>
      <c r="L57" s="191">
        <v>0</v>
      </c>
      <c r="M57" s="191">
        <v>0</v>
      </c>
      <c r="N57" s="439">
        <v>0</v>
      </c>
      <c r="O57" s="191">
        <v>0</v>
      </c>
      <c r="P57" s="191">
        <v>0</v>
      </c>
      <c r="Q57" s="191">
        <v>0</v>
      </c>
      <c r="R57" s="191">
        <v>0</v>
      </c>
      <c r="S57" s="191">
        <v>0</v>
      </c>
      <c r="T57" s="191">
        <v>0</v>
      </c>
      <c r="U57" s="934"/>
      <c r="V57" s="876"/>
      <c r="W57" s="201" t="s">
        <v>643</v>
      </c>
      <c r="X57" s="191">
        <v>0</v>
      </c>
      <c r="Y57" s="191">
        <v>0</v>
      </c>
      <c r="Z57" s="191">
        <v>0</v>
      </c>
      <c r="AA57" s="191">
        <v>0</v>
      </c>
      <c r="AB57" s="191">
        <v>0</v>
      </c>
      <c r="AC57" s="191">
        <v>0</v>
      </c>
      <c r="AD57" s="191">
        <v>0</v>
      </c>
      <c r="AE57" s="191">
        <v>0</v>
      </c>
      <c r="AF57" s="191">
        <v>0</v>
      </c>
      <c r="AG57" s="191">
        <v>0</v>
      </c>
      <c r="AH57" s="191">
        <v>0</v>
      </c>
      <c r="AI57" s="191">
        <v>0</v>
      </c>
      <c r="AJ57" s="191">
        <v>0</v>
      </c>
      <c r="AK57" s="191">
        <v>0</v>
      </c>
      <c r="AL57" s="191">
        <v>0</v>
      </c>
      <c r="AM57" s="439">
        <v>0</v>
      </c>
      <c r="AN57" s="439">
        <v>0</v>
      </c>
      <c r="AO57" s="934"/>
      <c r="AP57" s="876"/>
      <c r="AQ57" s="201" t="s">
        <v>643</v>
      </c>
      <c r="AR57" s="439">
        <v>0</v>
      </c>
      <c r="AS57" s="439">
        <v>0</v>
      </c>
      <c r="AT57" s="191">
        <v>0</v>
      </c>
      <c r="AU57" s="439"/>
      <c r="AV57" s="439"/>
      <c r="AW57" s="439"/>
      <c r="AX57" s="191">
        <v>0</v>
      </c>
      <c r="AY57" s="439">
        <v>0</v>
      </c>
      <c r="AZ57" s="439">
        <v>0</v>
      </c>
      <c r="BA57" s="439">
        <v>0</v>
      </c>
      <c r="BB57" s="439">
        <v>0</v>
      </c>
      <c r="BC57" s="439">
        <v>0</v>
      </c>
      <c r="BD57" s="439">
        <v>0</v>
      </c>
      <c r="BE57" s="439">
        <v>0</v>
      </c>
      <c r="BF57" s="439">
        <v>0</v>
      </c>
      <c r="BG57" s="191">
        <v>0</v>
      </c>
      <c r="BH57" s="439">
        <v>0</v>
      </c>
      <c r="BI57" s="934"/>
      <c r="BJ57" s="876"/>
      <c r="BK57" s="201" t="s">
        <v>643</v>
      </c>
      <c r="BL57" s="439">
        <v>0</v>
      </c>
      <c r="BM57" s="439">
        <v>0</v>
      </c>
      <c r="BN57" s="439">
        <v>0</v>
      </c>
      <c r="BO57" s="191">
        <v>0</v>
      </c>
      <c r="BP57" s="191">
        <v>0</v>
      </c>
      <c r="BQ57" s="191">
        <v>0</v>
      </c>
      <c r="BR57" s="439">
        <v>0</v>
      </c>
      <c r="BS57" s="439">
        <v>0</v>
      </c>
      <c r="BT57" s="439">
        <v>0</v>
      </c>
      <c r="BU57" s="439">
        <v>0</v>
      </c>
      <c r="BV57" s="189">
        <f t="shared" si="1"/>
        <v>0</v>
      </c>
    </row>
    <row r="58" spans="1:77" s="435" customFormat="1" ht="11.25" customHeight="1">
      <c r="A58" s="934"/>
      <c r="B58" s="876"/>
      <c r="C58" s="201" t="s">
        <v>644</v>
      </c>
      <c r="D58" s="205">
        <v>0</v>
      </c>
      <c r="E58" s="205">
        <v>0</v>
      </c>
      <c r="F58" s="205">
        <v>0</v>
      </c>
      <c r="G58" s="205">
        <v>0</v>
      </c>
      <c r="H58" s="205">
        <v>0</v>
      </c>
      <c r="I58" s="205">
        <v>0</v>
      </c>
      <c r="J58" s="205">
        <v>0</v>
      </c>
      <c r="K58" s="205">
        <v>0</v>
      </c>
      <c r="L58" s="205">
        <v>0</v>
      </c>
      <c r="M58" s="205">
        <v>0</v>
      </c>
      <c r="N58" s="436">
        <v>0</v>
      </c>
      <c r="O58" s="205">
        <v>0</v>
      </c>
      <c r="P58" s="205">
        <v>0</v>
      </c>
      <c r="Q58" s="205">
        <v>0</v>
      </c>
      <c r="R58" s="205">
        <v>100000</v>
      </c>
      <c r="S58" s="205">
        <v>1717</v>
      </c>
      <c r="T58" s="205">
        <v>0</v>
      </c>
      <c r="U58" s="934"/>
      <c r="V58" s="876"/>
      <c r="W58" s="201" t="s">
        <v>644</v>
      </c>
      <c r="X58" s="205">
        <v>0</v>
      </c>
      <c r="Y58" s="205">
        <v>0</v>
      </c>
      <c r="Z58" s="205">
        <v>0</v>
      </c>
      <c r="AA58" s="205">
        <v>0</v>
      </c>
      <c r="AB58" s="205">
        <v>0</v>
      </c>
      <c r="AC58" s="205">
        <v>0</v>
      </c>
      <c r="AD58" s="205">
        <v>0</v>
      </c>
      <c r="AE58" s="205">
        <v>0</v>
      </c>
      <c r="AF58" s="205">
        <v>0</v>
      </c>
      <c r="AG58" s="205">
        <v>0</v>
      </c>
      <c r="AH58" s="205">
        <v>0</v>
      </c>
      <c r="AI58" s="205">
        <v>0</v>
      </c>
      <c r="AJ58" s="205">
        <v>0</v>
      </c>
      <c r="AK58" s="205">
        <v>0</v>
      </c>
      <c r="AL58" s="205">
        <v>0</v>
      </c>
      <c r="AM58" s="436">
        <v>42</v>
      </c>
      <c r="AN58" s="436">
        <v>1514</v>
      </c>
      <c r="AO58" s="934"/>
      <c r="AP58" s="876"/>
      <c r="AQ58" s="201" t="s">
        <v>644</v>
      </c>
      <c r="AR58" s="436">
        <v>77</v>
      </c>
      <c r="AS58" s="436">
        <v>0</v>
      </c>
      <c r="AT58" s="205">
        <v>0</v>
      </c>
      <c r="AU58" s="436"/>
      <c r="AV58" s="436"/>
      <c r="AW58" s="436"/>
      <c r="AX58" s="205">
        <v>0</v>
      </c>
      <c r="AY58" s="436">
        <v>0</v>
      </c>
      <c r="AZ58" s="436">
        <v>0</v>
      </c>
      <c r="BA58" s="436">
        <v>0</v>
      </c>
      <c r="BB58" s="436">
        <v>0</v>
      </c>
      <c r="BC58" s="436">
        <v>0</v>
      </c>
      <c r="BD58" s="436">
        <v>6212</v>
      </c>
      <c r="BE58" s="436">
        <v>0</v>
      </c>
      <c r="BF58" s="436">
        <v>0</v>
      </c>
      <c r="BG58" s="205">
        <v>0</v>
      </c>
      <c r="BH58" s="436">
        <v>0</v>
      </c>
      <c r="BI58" s="934"/>
      <c r="BJ58" s="876"/>
      <c r="BK58" s="201" t="s">
        <v>644</v>
      </c>
      <c r="BL58" s="436">
        <v>0</v>
      </c>
      <c r="BM58" s="436">
        <v>0</v>
      </c>
      <c r="BN58" s="436">
        <v>0</v>
      </c>
      <c r="BO58" s="205">
        <v>0</v>
      </c>
      <c r="BP58" s="205">
        <v>0</v>
      </c>
      <c r="BQ58" s="205">
        <v>0</v>
      </c>
      <c r="BR58" s="436">
        <v>0</v>
      </c>
      <c r="BS58" s="436">
        <v>66</v>
      </c>
      <c r="BT58" s="436">
        <v>542</v>
      </c>
      <c r="BU58" s="436">
        <v>0</v>
      </c>
      <c r="BV58" s="189">
        <f t="shared" si="1"/>
        <v>110170</v>
      </c>
    </row>
    <row r="59" spans="1:77" s="435" customFormat="1" ht="11.25" customHeight="1">
      <c r="A59" s="934"/>
      <c r="B59" s="873"/>
      <c r="C59" s="201" t="s">
        <v>645</v>
      </c>
      <c r="D59" s="191">
        <v>457547</v>
      </c>
      <c r="E59" s="191">
        <v>37245</v>
      </c>
      <c r="F59" s="191">
        <v>449376</v>
      </c>
      <c r="G59" s="191">
        <v>97006</v>
      </c>
      <c r="H59" s="191">
        <v>163928</v>
      </c>
      <c r="I59" s="191">
        <v>1916687</v>
      </c>
      <c r="J59" s="191">
        <v>0</v>
      </c>
      <c r="K59" s="191">
        <v>2052679</v>
      </c>
      <c r="L59" s="191">
        <v>348577</v>
      </c>
      <c r="M59" s="191">
        <v>73807</v>
      </c>
      <c r="N59" s="191">
        <v>1629124</v>
      </c>
      <c r="O59" s="191">
        <v>689084</v>
      </c>
      <c r="P59" s="191">
        <v>774930</v>
      </c>
      <c r="Q59" s="191">
        <v>138281</v>
      </c>
      <c r="R59" s="191">
        <v>437007</v>
      </c>
      <c r="S59" s="191">
        <v>55747</v>
      </c>
      <c r="T59" s="191">
        <v>0</v>
      </c>
      <c r="U59" s="934"/>
      <c r="V59" s="873"/>
      <c r="W59" s="201" t="s">
        <v>645</v>
      </c>
      <c r="X59" s="191">
        <v>0</v>
      </c>
      <c r="Y59" s="191">
        <v>0</v>
      </c>
      <c r="Z59" s="191">
        <v>15000</v>
      </c>
      <c r="AA59" s="191">
        <v>0</v>
      </c>
      <c r="AB59" s="191">
        <v>871725</v>
      </c>
      <c r="AC59" s="191">
        <v>355541</v>
      </c>
      <c r="AD59" s="191">
        <v>223422</v>
      </c>
      <c r="AE59" s="191">
        <v>299163</v>
      </c>
      <c r="AF59" s="191">
        <v>271857</v>
      </c>
      <c r="AG59" s="191">
        <v>62760</v>
      </c>
      <c r="AH59" s="191">
        <v>63271</v>
      </c>
      <c r="AI59" s="191">
        <v>69146</v>
      </c>
      <c r="AJ59" s="191">
        <v>1729045</v>
      </c>
      <c r="AK59" s="191">
        <v>156449</v>
      </c>
      <c r="AL59" s="191">
        <v>72308</v>
      </c>
      <c r="AM59" s="191">
        <v>142399</v>
      </c>
      <c r="AN59" s="191">
        <v>98985</v>
      </c>
      <c r="AO59" s="934"/>
      <c r="AP59" s="873"/>
      <c r="AQ59" s="201" t="s">
        <v>645</v>
      </c>
      <c r="AR59" s="191">
        <v>57523</v>
      </c>
      <c r="AS59" s="191">
        <v>841947</v>
      </c>
      <c r="AT59" s="191">
        <v>2800896</v>
      </c>
      <c r="AU59" s="191"/>
      <c r="AV59" s="191"/>
      <c r="AW59" s="191"/>
      <c r="AX59" s="191">
        <v>775911</v>
      </c>
      <c r="AY59" s="191">
        <v>1773919</v>
      </c>
      <c r="AZ59" s="191">
        <v>68148</v>
      </c>
      <c r="BA59" s="191">
        <v>252386</v>
      </c>
      <c r="BB59" s="191">
        <v>116517</v>
      </c>
      <c r="BC59" s="191">
        <v>114610</v>
      </c>
      <c r="BD59" s="191">
        <v>137264</v>
      </c>
      <c r="BE59" s="191">
        <v>3209790</v>
      </c>
      <c r="BF59" s="191">
        <v>6214117</v>
      </c>
      <c r="BG59" s="191">
        <v>636919</v>
      </c>
      <c r="BH59" s="191">
        <v>59727</v>
      </c>
      <c r="BI59" s="934"/>
      <c r="BJ59" s="873"/>
      <c r="BK59" s="201" t="s">
        <v>645</v>
      </c>
      <c r="BL59" s="191">
        <v>80992</v>
      </c>
      <c r="BM59" s="191">
        <v>56478</v>
      </c>
      <c r="BN59" s="191">
        <v>110003</v>
      </c>
      <c r="BO59" s="191">
        <v>186558</v>
      </c>
      <c r="BP59" s="191">
        <v>74360</v>
      </c>
      <c r="BQ59" s="191">
        <v>449252</v>
      </c>
      <c r="BR59" s="191">
        <v>239780</v>
      </c>
      <c r="BS59" s="191">
        <v>344350</v>
      </c>
      <c r="BT59" s="191">
        <v>33036</v>
      </c>
      <c r="BU59" s="191">
        <v>45656</v>
      </c>
      <c r="BV59" s="189">
        <f t="shared" si="1"/>
        <v>32432235</v>
      </c>
    </row>
    <row r="60" spans="1:77" s="435" customFormat="1" ht="11.25" customHeight="1">
      <c r="A60" s="935"/>
      <c r="B60" s="877" t="s">
        <v>646</v>
      </c>
      <c r="C60" s="878"/>
      <c r="D60" s="445">
        <v>268812</v>
      </c>
      <c r="E60" s="445">
        <v>32848</v>
      </c>
      <c r="F60" s="445">
        <v>398924</v>
      </c>
      <c r="G60" s="445">
        <v>83208</v>
      </c>
      <c r="H60" s="445">
        <v>163918</v>
      </c>
      <c r="I60" s="445">
        <v>1759910</v>
      </c>
      <c r="J60" s="445">
        <v>0</v>
      </c>
      <c r="K60" s="445">
        <v>1268120</v>
      </c>
      <c r="L60" s="445">
        <v>307202</v>
      </c>
      <c r="M60" s="445">
        <v>35477</v>
      </c>
      <c r="N60" s="445">
        <v>769999</v>
      </c>
      <c r="O60" s="445">
        <v>465598</v>
      </c>
      <c r="P60" s="445">
        <v>700249</v>
      </c>
      <c r="Q60" s="445">
        <v>77281</v>
      </c>
      <c r="R60" s="445">
        <v>424978</v>
      </c>
      <c r="S60" s="445">
        <v>55747</v>
      </c>
      <c r="T60" s="445">
        <v>0</v>
      </c>
      <c r="U60" s="935"/>
      <c r="V60" s="877" t="s">
        <v>646</v>
      </c>
      <c r="W60" s="878"/>
      <c r="X60" s="445">
        <v>0</v>
      </c>
      <c r="Y60" s="445">
        <v>0</v>
      </c>
      <c r="Z60" s="445">
        <v>15000</v>
      </c>
      <c r="AA60" s="445">
        <v>0</v>
      </c>
      <c r="AB60" s="445">
        <v>533018</v>
      </c>
      <c r="AC60" s="445">
        <v>257188</v>
      </c>
      <c r="AD60" s="445">
        <v>176555</v>
      </c>
      <c r="AE60" s="445">
        <v>147604</v>
      </c>
      <c r="AF60" s="445">
        <v>123698</v>
      </c>
      <c r="AG60" s="445">
        <v>48635</v>
      </c>
      <c r="AH60" s="445">
        <v>38615</v>
      </c>
      <c r="AI60" s="445">
        <v>62623</v>
      </c>
      <c r="AJ60" s="445">
        <v>1063321</v>
      </c>
      <c r="AK60" s="445">
        <v>129839</v>
      </c>
      <c r="AL60" s="445">
        <v>66813</v>
      </c>
      <c r="AM60" s="445">
        <v>46710</v>
      </c>
      <c r="AN60" s="445">
        <v>8185</v>
      </c>
      <c r="AO60" s="935"/>
      <c r="AP60" s="877" t="s">
        <v>646</v>
      </c>
      <c r="AQ60" s="878"/>
      <c r="AR60" s="445">
        <v>36113</v>
      </c>
      <c r="AS60" s="445">
        <v>83247</v>
      </c>
      <c r="AT60" s="445">
        <v>1866182</v>
      </c>
      <c r="AU60" s="445"/>
      <c r="AV60" s="445"/>
      <c r="AW60" s="445"/>
      <c r="AX60" s="445">
        <v>604422</v>
      </c>
      <c r="AY60" s="445">
        <v>1515896</v>
      </c>
      <c r="AZ60" s="445">
        <v>65858</v>
      </c>
      <c r="BA60" s="445">
        <v>250670</v>
      </c>
      <c r="BB60" s="445">
        <v>110830</v>
      </c>
      <c r="BC60" s="445">
        <v>103125</v>
      </c>
      <c r="BD60" s="445">
        <v>91586</v>
      </c>
      <c r="BE60" s="445">
        <v>1784289</v>
      </c>
      <c r="BF60" s="445">
        <v>3833631</v>
      </c>
      <c r="BG60" s="445">
        <v>570865</v>
      </c>
      <c r="BH60" s="445">
        <v>25917</v>
      </c>
      <c r="BI60" s="935"/>
      <c r="BJ60" s="877" t="s">
        <v>646</v>
      </c>
      <c r="BK60" s="878"/>
      <c r="BL60" s="445">
        <v>64882</v>
      </c>
      <c r="BM60" s="445">
        <v>6034</v>
      </c>
      <c r="BN60" s="445">
        <v>99083</v>
      </c>
      <c r="BO60" s="445">
        <v>184626</v>
      </c>
      <c r="BP60" s="445">
        <v>73792</v>
      </c>
      <c r="BQ60" s="445">
        <v>304319</v>
      </c>
      <c r="BR60" s="445">
        <v>186073</v>
      </c>
      <c r="BS60" s="445">
        <v>175638</v>
      </c>
      <c r="BT60" s="445">
        <v>26559</v>
      </c>
      <c r="BU60" s="445">
        <v>45656</v>
      </c>
      <c r="BV60" s="446">
        <f t="shared" si="1"/>
        <v>21639368</v>
      </c>
    </row>
    <row r="61" spans="1:77" ht="11.25" customHeight="1">
      <c r="A61" s="930" t="s">
        <v>647</v>
      </c>
      <c r="B61" s="880" t="s">
        <v>648</v>
      </c>
      <c r="C61" s="880"/>
      <c r="D61" s="203">
        <v>35842</v>
      </c>
      <c r="E61" s="203">
        <v>15570</v>
      </c>
      <c r="F61" s="203">
        <v>95476</v>
      </c>
      <c r="G61" s="203">
        <v>23385</v>
      </c>
      <c r="H61" s="203">
        <v>21386</v>
      </c>
      <c r="I61" s="203">
        <v>341183</v>
      </c>
      <c r="J61" s="203">
        <v>0</v>
      </c>
      <c r="K61" s="203">
        <v>311900</v>
      </c>
      <c r="L61" s="203">
        <v>14460</v>
      </c>
      <c r="M61" s="203">
        <v>6595</v>
      </c>
      <c r="N61" s="203">
        <v>98372</v>
      </c>
      <c r="O61" s="203">
        <v>110574</v>
      </c>
      <c r="P61" s="203">
        <v>117583</v>
      </c>
      <c r="Q61" s="203">
        <v>26451</v>
      </c>
      <c r="R61" s="203">
        <v>42246</v>
      </c>
      <c r="S61" s="203">
        <v>23615</v>
      </c>
      <c r="T61" s="203">
        <v>4247</v>
      </c>
      <c r="U61" s="930" t="s">
        <v>647</v>
      </c>
      <c r="V61" s="880" t="s">
        <v>648</v>
      </c>
      <c r="W61" s="880"/>
      <c r="X61" s="203">
        <v>10339</v>
      </c>
      <c r="Y61" s="203">
        <v>19633</v>
      </c>
      <c r="Z61" s="203">
        <v>20000</v>
      </c>
      <c r="AA61" s="203">
        <v>500</v>
      </c>
      <c r="AB61" s="203">
        <v>104516</v>
      </c>
      <c r="AC61" s="203">
        <v>53890</v>
      </c>
      <c r="AD61" s="203">
        <v>40241</v>
      </c>
      <c r="AE61" s="203">
        <v>40827</v>
      </c>
      <c r="AF61" s="203">
        <v>21427</v>
      </c>
      <c r="AG61" s="203">
        <v>28680</v>
      </c>
      <c r="AH61" s="203">
        <v>13845</v>
      </c>
      <c r="AI61" s="203">
        <v>17395</v>
      </c>
      <c r="AJ61" s="203">
        <v>154661</v>
      </c>
      <c r="AK61" s="203">
        <v>29034</v>
      </c>
      <c r="AL61" s="203">
        <v>30045</v>
      </c>
      <c r="AM61" s="203">
        <v>11725</v>
      </c>
      <c r="AN61" s="203">
        <v>9346</v>
      </c>
      <c r="AO61" s="930" t="s">
        <v>647</v>
      </c>
      <c r="AP61" s="880" t="s">
        <v>648</v>
      </c>
      <c r="AQ61" s="880"/>
      <c r="AR61" s="203">
        <v>13721</v>
      </c>
      <c r="AS61" s="203">
        <v>2956</v>
      </c>
      <c r="AT61" s="203">
        <v>381384</v>
      </c>
      <c r="AU61" s="203"/>
      <c r="AV61" s="203"/>
      <c r="AW61" s="203"/>
      <c r="AX61" s="203">
        <v>92929</v>
      </c>
      <c r="AY61" s="203">
        <v>135527</v>
      </c>
      <c r="AZ61" s="203">
        <v>12043</v>
      </c>
      <c r="BA61" s="203">
        <v>62672</v>
      </c>
      <c r="BB61" s="203">
        <v>26933</v>
      </c>
      <c r="BC61" s="203">
        <v>15266</v>
      </c>
      <c r="BD61" s="203">
        <v>35668</v>
      </c>
      <c r="BE61" s="203">
        <v>273317</v>
      </c>
      <c r="BF61" s="203">
        <v>619296</v>
      </c>
      <c r="BG61" s="203">
        <v>167597</v>
      </c>
      <c r="BH61" s="203">
        <v>3361</v>
      </c>
      <c r="BI61" s="930" t="s">
        <v>647</v>
      </c>
      <c r="BJ61" s="880" t="s">
        <v>648</v>
      </c>
      <c r="BK61" s="880"/>
      <c r="BL61" s="203">
        <v>14832</v>
      </c>
      <c r="BM61" s="203">
        <v>21214</v>
      </c>
      <c r="BN61" s="203">
        <v>28606</v>
      </c>
      <c r="BO61" s="203">
        <v>13771</v>
      </c>
      <c r="BP61" s="203">
        <v>9317</v>
      </c>
      <c r="BQ61" s="203">
        <v>50725</v>
      </c>
      <c r="BR61" s="203">
        <v>65366</v>
      </c>
      <c r="BS61" s="203">
        <v>20974</v>
      </c>
      <c r="BT61" s="203">
        <v>14029</v>
      </c>
      <c r="BU61" s="203">
        <v>9760</v>
      </c>
      <c r="BV61" s="187">
        <f t="shared" si="1"/>
        <v>3986253</v>
      </c>
      <c r="BY61" s="435"/>
    </row>
    <row r="62" spans="1:77" ht="11.25" customHeight="1">
      <c r="A62" s="930"/>
      <c r="B62" s="863" t="s">
        <v>649</v>
      </c>
      <c r="C62" s="863"/>
      <c r="D62" s="205">
        <v>29372</v>
      </c>
      <c r="E62" s="205">
        <v>12048</v>
      </c>
      <c r="F62" s="205">
        <v>75090</v>
      </c>
      <c r="G62" s="205">
        <v>18143</v>
      </c>
      <c r="H62" s="205">
        <v>17386</v>
      </c>
      <c r="I62" s="205">
        <v>281086</v>
      </c>
      <c r="J62" s="205">
        <v>0</v>
      </c>
      <c r="K62" s="205">
        <v>244384</v>
      </c>
      <c r="L62" s="205">
        <v>11056</v>
      </c>
      <c r="M62" s="205">
        <v>4979</v>
      </c>
      <c r="N62" s="436">
        <v>74753</v>
      </c>
      <c r="O62" s="205">
        <v>86985</v>
      </c>
      <c r="P62" s="205">
        <v>83134</v>
      </c>
      <c r="Q62" s="205">
        <v>22125</v>
      </c>
      <c r="R62" s="205">
        <v>35350</v>
      </c>
      <c r="S62" s="205">
        <v>17194</v>
      </c>
      <c r="T62" s="205">
        <v>4247</v>
      </c>
      <c r="U62" s="930"/>
      <c r="V62" s="863" t="s">
        <v>649</v>
      </c>
      <c r="W62" s="863"/>
      <c r="X62" s="205">
        <v>8939</v>
      </c>
      <c r="Y62" s="205">
        <v>13937</v>
      </c>
      <c r="Z62" s="205">
        <v>20000</v>
      </c>
      <c r="AA62" s="205">
        <v>500</v>
      </c>
      <c r="AB62" s="205">
        <v>83957</v>
      </c>
      <c r="AC62" s="205">
        <v>37188</v>
      </c>
      <c r="AD62" s="205">
        <v>33993</v>
      </c>
      <c r="AE62" s="205">
        <v>17871</v>
      </c>
      <c r="AF62" s="205">
        <v>18060</v>
      </c>
      <c r="AG62" s="205">
        <v>24030</v>
      </c>
      <c r="AH62" s="205">
        <v>11676</v>
      </c>
      <c r="AI62" s="205">
        <v>15442</v>
      </c>
      <c r="AJ62" s="205">
        <v>128404</v>
      </c>
      <c r="AK62" s="205">
        <v>24692</v>
      </c>
      <c r="AL62" s="205">
        <v>22581</v>
      </c>
      <c r="AM62" s="436">
        <v>9821</v>
      </c>
      <c r="AN62" s="436">
        <v>6647</v>
      </c>
      <c r="AO62" s="930"/>
      <c r="AP62" s="863" t="s">
        <v>649</v>
      </c>
      <c r="AQ62" s="863"/>
      <c r="AR62" s="436">
        <v>11334</v>
      </c>
      <c r="AS62" s="436">
        <v>2956</v>
      </c>
      <c r="AT62" s="205">
        <v>322385</v>
      </c>
      <c r="AU62" s="436"/>
      <c r="AV62" s="436"/>
      <c r="AW62" s="436"/>
      <c r="AX62" s="205">
        <v>73332</v>
      </c>
      <c r="AY62" s="436">
        <v>112147</v>
      </c>
      <c r="AZ62" s="436">
        <v>9937</v>
      </c>
      <c r="BA62" s="436">
        <v>50306</v>
      </c>
      <c r="BB62" s="436">
        <v>23105</v>
      </c>
      <c r="BC62" s="436">
        <v>11700</v>
      </c>
      <c r="BD62" s="436">
        <v>30751</v>
      </c>
      <c r="BE62" s="436">
        <v>186144</v>
      </c>
      <c r="BF62" s="436">
        <v>512812</v>
      </c>
      <c r="BG62" s="205">
        <v>103185</v>
      </c>
      <c r="BH62" s="436">
        <v>2072</v>
      </c>
      <c r="BI62" s="930"/>
      <c r="BJ62" s="863" t="s">
        <v>649</v>
      </c>
      <c r="BK62" s="863"/>
      <c r="BL62" s="436">
        <v>11956</v>
      </c>
      <c r="BM62" s="436">
        <v>15948</v>
      </c>
      <c r="BN62" s="436">
        <v>24019</v>
      </c>
      <c r="BO62" s="205">
        <v>11499</v>
      </c>
      <c r="BP62" s="205">
        <v>9317</v>
      </c>
      <c r="BQ62" s="205">
        <v>41994</v>
      </c>
      <c r="BR62" s="436">
        <v>53724</v>
      </c>
      <c r="BS62" s="436">
        <v>17895</v>
      </c>
      <c r="BT62" s="436">
        <v>14029</v>
      </c>
      <c r="BU62" s="436">
        <v>8075</v>
      </c>
      <c r="BV62" s="189">
        <f t="shared" si="1"/>
        <v>3155692</v>
      </c>
      <c r="BY62" s="435"/>
    </row>
    <row r="63" spans="1:77" ht="11.25" customHeight="1">
      <c r="A63" s="930"/>
      <c r="B63" s="863" t="s">
        <v>650</v>
      </c>
      <c r="C63" s="863"/>
      <c r="D63" s="205">
        <v>6470</v>
      </c>
      <c r="E63" s="205">
        <v>3522</v>
      </c>
      <c r="F63" s="205">
        <v>20386</v>
      </c>
      <c r="G63" s="205">
        <v>5242</v>
      </c>
      <c r="H63" s="205">
        <v>4000</v>
      </c>
      <c r="I63" s="205">
        <v>60097</v>
      </c>
      <c r="J63" s="205">
        <v>0</v>
      </c>
      <c r="K63" s="205">
        <v>67516</v>
      </c>
      <c r="L63" s="205">
        <v>3404</v>
      </c>
      <c r="M63" s="205">
        <v>1616</v>
      </c>
      <c r="N63" s="436">
        <v>23619</v>
      </c>
      <c r="O63" s="205">
        <v>23589</v>
      </c>
      <c r="P63" s="205">
        <v>34449</v>
      </c>
      <c r="Q63" s="205">
        <v>4326</v>
      </c>
      <c r="R63" s="205">
        <v>6896</v>
      </c>
      <c r="S63" s="205">
        <v>6421</v>
      </c>
      <c r="T63" s="205">
        <v>0</v>
      </c>
      <c r="U63" s="930"/>
      <c r="V63" s="863" t="s">
        <v>650</v>
      </c>
      <c r="W63" s="863"/>
      <c r="X63" s="205">
        <v>1400</v>
      </c>
      <c r="Y63" s="205">
        <v>5696</v>
      </c>
      <c r="Z63" s="205">
        <v>0</v>
      </c>
      <c r="AA63" s="205">
        <v>0</v>
      </c>
      <c r="AB63" s="205">
        <v>20559</v>
      </c>
      <c r="AC63" s="205">
        <v>16702</v>
      </c>
      <c r="AD63" s="205">
        <v>6248</v>
      </c>
      <c r="AE63" s="205">
        <v>22956</v>
      </c>
      <c r="AF63" s="205">
        <v>3367</v>
      </c>
      <c r="AG63" s="205">
        <v>4650</v>
      </c>
      <c r="AH63" s="205">
        <v>2169</v>
      </c>
      <c r="AI63" s="205">
        <v>1953</v>
      </c>
      <c r="AJ63" s="205">
        <v>26257</v>
      </c>
      <c r="AK63" s="205">
        <v>4342</v>
      </c>
      <c r="AL63" s="205">
        <v>7464</v>
      </c>
      <c r="AM63" s="436">
        <v>1904</v>
      </c>
      <c r="AN63" s="436">
        <v>2699</v>
      </c>
      <c r="AO63" s="930"/>
      <c r="AP63" s="863" t="s">
        <v>650</v>
      </c>
      <c r="AQ63" s="863"/>
      <c r="AR63" s="436">
        <v>2387</v>
      </c>
      <c r="AS63" s="436">
        <v>0</v>
      </c>
      <c r="AT63" s="205">
        <v>58999</v>
      </c>
      <c r="AU63" s="436"/>
      <c r="AV63" s="436"/>
      <c r="AW63" s="436"/>
      <c r="AX63" s="205">
        <v>19597</v>
      </c>
      <c r="AY63" s="436">
        <v>23380</v>
      </c>
      <c r="AZ63" s="436">
        <v>2106</v>
      </c>
      <c r="BA63" s="436">
        <v>12366</v>
      </c>
      <c r="BB63" s="436">
        <v>3828</v>
      </c>
      <c r="BC63" s="436">
        <v>3566</v>
      </c>
      <c r="BD63" s="436">
        <v>4917</v>
      </c>
      <c r="BE63" s="436">
        <v>87173</v>
      </c>
      <c r="BF63" s="436">
        <v>106484</v>
      </c>
      <c r="BG63" s="205">
        <v>64412</v>
      </c>
      <c r="BH63" s="436">
        <v>1289</v>
      </c>
      <c r="BI63" s="930"/>
      <c r="BJ63" s="863" t="s">
        <v>650</v>
      </c>
      <c r="BK63" s="863"/>
      <c r="BL63" s="436">
        <v>2876</v>
      </c>
      <c r="BM63" s="436">
        <v>5266</v>
      </c>
      <c r="BN63" s="436">
        <v>4587</v>
      </c>
      <c r="BO63" s="205">
        <v>2272</v>
      </c>
      <c r="BP63" s="205">
        <v>0</v>
      </c>
      <c r="BQ63" s="205">
        <v>8731</v>
      </c>
      <c r="BR63" s="436">
        <v>11642</v>
      </c>
      <c r="BS63" s="436">
        <v>3079</v>
      </c>
      <c r="BT63" s="436">
        <v>0</v>
      </c>
      <c r="BU63" s="436">
        <v>1685</v>
      </c>
      <c r="BV63" s="189">
        <f t="shared" si="1"/>
        <v>830561</v>
      </c>
      <c r="BY63" s="435"/>
    </row>
    <row r="64" spans="1:77" ht="11.25" customHeight="1">
      <c r="A64" s="930"/>
      <c r="B64" s="863" t="s">
        <v>651</v>
      </c>
      <c r="C64" s="863"/>
      <c r="D64" s="205">
        <v>0</v>
      </c>
      <c r="E64" s="205">
        <v>785</v>
      </c>
      <c r="F64" s="205">
        <v>26226</v>
      </c>
      <c r="G64" s="205">
        <v>2920</v>
      </c>
      <c r="H64" s="205">
        <v>1772</v>
      </c>
      <c r="I64" s="205">
        <v>46284</v>
      </c>
      <c r="J64" s="205">
        <v>12165</v>
      </c>
      <c r="K64" s="205">
        <v>86779</v>
      </c>
      <c r="L64" s="205">
        <v>30958</v>
      </c>
      <c r="M64" s="205">
        <v>9045</v>
      </c>
      <c r="N64" s="436">
        <v>64297</v>
      </c>
      <c r="O64" s="205">
        <v>40028</v>
      </c>
      <c r="P64" s="205">
        <v>47733</v>
      </c>
      <c r="Q64" s="205">
        <v>3359</v>
      </c>
      <c r="R64" s="205">
        <v>23352</v>
      </c>
      <c r="S64" s="205">
        <v>11428</v>
      </c>
      <c r="T64" s="205">
        <v>10552</v>
      </c>
      <c r="U64" s="930"/>
      <c r="V64" s="863" t="s">
        <v>651</v>
      </c>
      <c r="W64" s="863"/>
      <c r="X64" s="205">
        <v>15086</v>
      </c>
      <c r="Y64" s="205">
        <v>8155</v>
      </c>
      <c r="Z64" s="205">
        <v>5000</v>
      </c>
      <c r="AA64" s="205">
        <v>2550</v>
      </c>
      <c r="AB64" s="205">
        <v>26809</v>
      </c>
      <c r="AC64" s="205">
        <v>6406</v>
      </c>
      <c r="AD64" s="205">
        <v>19917</v>
      </c>
      <c r="AE64" s="205">
        <v>8441</v>
      </c>
      <c r="AF64" s="205">
        <v>254</v>
      </c>
      <c r="AG64" s="205">
        <v>1948</v>
      </c>
      <c r="AH64" s="205">
        <v>10140</v>
      </c>
      <c r="AI64" s="205">
        <v>4047</v>
      </c>
      <c r="AJ64" s="205">
        <v>65005</v>
      </c>
      <c r="AK64" s="205">
        <v>9625</v>
      </c>
      <c r="AL64" s="205">
        <v>134</v>
      </c>
      <c r="AM64" s="436">
        <v>7549</v>
      </c>
      <c r="AN64" s="436">
        <v>0</v>
      </c>
      <c r="AO64" s="930"/>
      <c r="AP64" s="863" t="s">
        <v>651</v>
      </c>
      <c r="AQ64" s="863"/>
      <c r="AR64" s="436">
        <v>40</v>
      </c>
      <c r="AS64" s="436">
        <v>4094</v>
      </c>
      <c r="AT64" s="205">
        <v>84281</v>
      </c>
      <c r="AU64" s="436"/>
      <c r="AV64" s="436"/>
      <c r="AW64" s="436"/>
      <c r="AX64" s="205">
        <v>35213</v>
      </c>
      <c r="AY64" s="436">
        <v>128562</v>
      </c>
      <c r="AZ64" s="436">
        <v>2344</v>
      </c>
      <c r="BA64" s="436">
        <v>3808</v>
      </c>
      <c r="BB64" s="436">
        <v>7902</v>
      </c>
      <c r="BC64" s="436">
        <v>8450</v>
      </c>
      <c r="BD64" s="436">
        <v>14777</v>
      </c>
      <c r="BE64" s="436">
        <v>158500</v>
      </c>
      <c r="BF64" s="436">
        <v>250852</v>
      </c>
      <c r="BG64" s="205">
        <v>41720</v>
      </c>
      <c r="BH64" s="436">
        <v>3056</v>
      </c>
      <c r="BI64" s="930"/>
      <c r="BJ64" s="863" t="s">
        <v>651</v>
      </c>
      <c r="BK64" s="863"/>
      <c r="BL64" s="436">
        <v>25714</v>
      </c>
      <c r="BM64" s="436">
        <v>0</v>
      </c>
      <c r="BN64" s="436">
        <v>7350</v>
      </c>
      <c r="BO64" s="205">
        <v>7390</v>
      </c>
      <c r="BP64" s="205">
        <v>3606</v>
      </c>
      <c r="BQ64" s="205">
        <v>46101</v>
      </c>
      <c r="BR64" s="436">
        <v>38055</v>
      </c>
      <c r="BS64" s="436">
        <v>3209</v>
      </c>
      <c r="BT64" s="436">
        <v>2243</v>
      </c>
      <c r="BU64" s="436">
        <v>1910</v>
      </c>
      <c r="BV64" s="189">
        <f t="shared" si="1"/>
        <v>1487926</v>
      </c>
      <c r="BY64" s="435"/>
    </row>
    <row r="65" spans="1:77" ht="11.25" customHeight="1">
      <c r="A65" s="930"/>
      <c r="B65" s="863" t="s">
        <v>652</v>
      </c>
      <c r="C65" s="863"/>
      <c r="D65" s="205">
        <v>8562</v>
      </c>
      <c r="E65" s="205">
        <v>4434</v>
      </c>
      <c r="F65" s="205">
        <v>13389</v>
      </c>
      <c r="G65" s="205">
        <v>5929</v>
      </c>
      <c r="H65" s="205">
        <v>28523</v>
      </c>
      <c r="I65" s="205">
        <v>132438</v>
      </c>
      <c r="J65" s="205">
        <v>850</v>
      </c>
      <c r="K65" s="205">
        <v>241640</v>
      </c>
      <c r="L65" s="205">
        <v>44047</v>
      </c>
      <c r="M65" s="205">
        <v>14458</v>
      </c>
      <c r="N65" s="436">
        <v>24719</v>
      </c>
      <c r="O65" s="205">
        <v>57123</v>
      </c>
      <c r="P65" s="205">
        <v>25252</v>
      </c>
      <c r="Q65" s="205">
        <v>11388</v>
      </c>
      <c r="R65" s="205">
        <v>25690</v>
      </c>
      <c r="S65" s="205">
        <v>7674</v>
      </c>
      <c r="T65" s="205">
        <v>793</v>
      </c>
      <c r="U65" s="930"/>
      <c r="V65" s="863" t="s">
        <v>652</v>
      </c>
      <c r="W65" s="863"/>
      <c r="X65" s="205">
        <v>46524</v>
      </c>
      <c r="Y65" s="205">
        <v>10149</v>
      </c>
      <c r="Z65" s="205">
        <v>0</v>
      </c>
      <c r="AA65" s="205">
        <v>16827</v>
      </c>
      <c r="AB65" s="205">
        <v>76197</v>
      </c>
      <c r="AC65" s="205">
        <v>66330</v>
      </c>
      <c r="AD65" s="205">
        <v>11009</v>
      </c>
      <c r="AE65" s="205">
        <v>7552</v>
      </c>
      <c r="AF65" s="205">
        <v>9888</v>
      </c>
      <c r="AG65" s="205">
        <v>7289</v>
      </c>
      <c r="AH65" s="205">
        <v>7495</v>
      </c>
      <c r="AI65" s="205">
        <v>7679</v>
      </c>
      <c r="AJ65" s="205">
        <v>15632</v>
      </c>
      <c r="AK65" s="205">
        <v>7331</v>
      </c>
      <c r="AL65" s="205">
        <v>3466</v>
      </c>
      <c r="AM65" s="436">
        <v>1478</v>
      </c>
      <c r="AN65" s="436">
        <v>9536</v>
      </c>
      <c r="AO65" s="930"/>
      <c r="AP65" s="863" t="s">
        <v>652</v>
      </c>
      <c r="AQ65" s="863"/>
      <c r="AR65" s="436">
        <v>9354</v>
      </c>
      <c r="AS65" s="436">
        <v>14459</v>
      </c>
      <c r="AT65" s="205">
        <v>179468</v>
      </c>
      <c r="AU65" s="436"/>
      <c r="AV65" s="436"/>
      <c r="AW65" s="436"/>
      <c r="AX65" s="205">
        <v>55284</v>
      </c>
      <c r="AY65" s="436">
        <v>40577</v>
      </c>
      <c r="AZ65" s="436">
        <v>29947</v>
      </c>
      <c r="BA65" s="436">
        <v>16206</v>
      </c>
      <c r="BB65" s="436">
        <v>3012</v>
      </c>
      <c r="BC65" s="436">
        <v>4</v>
      </c>
      <c r="BD65" s="436">
        <v>3888</v>
      </c>
      <c r="BE65" s="436">
        <v>358031</v>
      </c>
      <c r="BF65" s="436">
        <v>139284</v>
      </c>
      <c r="BG65" s="205">
        <v>46069</v>
      </c>
      <c r="BH65" s="436">
        <v>4755</v>
      </c>
      <c r="BI65" s="930"/>
      <c r="BJ65" s="863" t="s">
        <v>652</v>
      </c>
      <c r="BK65" s="863"/>
      <c r="BL65" s="436">
        <v>12808</v>
      </c>
      <c r="BM65" s="436">
        <v>3546</v>
      </c>
      <c r="BN65" s="436">
        <v>15927</v>
      </c>
      <c r="BO65" s="205">
        <v>8022</v>
      </c>
      <c r="BP65" s="205">
        <v>7896</v>
      </c>
      <c r="BQ65" s="205">
        <v>49513</v>
      </c>
      <c r="BR65" s="436">
        <v>30796</v>
      </c>
      <c r="BS65" s="436">
        <v>18195</v>
      </c>
      <c r="BT65" s="436">
        <v>3890</v>
      </c>
      <c r="BU65" s="436">
        <v>3701</v>
      </c>
      <c r="BV65" s="189">
        <f t="shared" si="1"/>
        <v>2005923</v>
      </c>
      <c r="BY65" s="435"/>
    </row>
    <row r="66" spans="1:77" ht="11.25" customHeight="1">
      <c r="A66" s="930"/>
      <c r="B66" s="863" t="s">
        <v>653</v>
      </c>
      <c r="C66" s="863"/>
      <c r="D66" s="205">
        <v>0</v>
      </c>
      <c r="E66" s="205">
        <v>201</v>
      </c>
      <c r="F66" s="205">
        <v>978</v>
      </c>
      <c r="G66" s="205">
        <v>75</v>
      </c>
      <c r="H66" s="205">
        <v>301</v>
      </c>
      <c r="I66" s="205">
        <v>2270</v>
      </c>
      <c r="J66" s="205">
        <v>100</v>
      </c>
      <c r="K66" s="205">
        <v>18308</v>
      </c>
      <c r="L66" s="205">
        <v>649</v>
      </c>
      <c r="M66" s="205">
        <v>314</v>
      </c>
      <c r="N66" s="436">
        <v>5474</v>
      </c>
      <c r="O66" s="205">
        <v>29</v>
      </c>
      <c r="P66" s="205">
        <v>2092</v>
      </c>
      <c r="Q66" s="205">
        <v>7920</v>
      </c>
      <c r="R66" s="205">
        <v>1529</v>
      </c>
      <c r="S66" s="205">
        <v>314</v>
      </c>
      <c r="T66" s="205">
        <v>166</v>
      </c>
      <c r="U66" s="930"/>
      <c r="V66" s="863" t="s">
        <v>653</v>
      </c>
      <c r="W66" s="863"/>
      <c r="X66" s="205">
        <v>151</v>
      </c>
      <c r="Y66" s="205">
        <v>1268</v>
      </c>
      <c r="Z66" s="205">
        <v>400</v>
      </c>
      <c r="AA66" s="205">
        <v>4871</v>
      </c>
      <c r="AB66" s="205">
        <v>1126</v>
      </c>
      <c r="AC66" s="205">
        <v>1211</v>
      </c>
      <c r="AD66" s="205">
        <v>1230</v>
      </c>
      <c r="AE66" s="205">
        <v>615</v>
      </c>
      <c r="AF66" s="205">
        <v>2987</v>
      </c>
      <c r="AG66" s="205">
        <v>485</v>
      </c>
      <c r="AH66" s="205">
        <v>1539</v>
      </c>
      <c r="AI66" s="205">
        <v>133</v>
      </c>
      <c r="AJ66" s="205">
        <v>0</v>
      </c>
      <c r="AK66" s="205">
        <v>4220</v>
      </c>
      <c r="AL66" s="205">
        <v>1918</v>
      </c>
      <c r="AM66" s="436">
        <v>1487</v>
      </c>
      <c r="AN66" s="436">
        <v>533</v>
      </c>
      <c r="AO66" s="930"/>
      <c r="AP66" s="863" t="s">
        <v>653</v>
      </c>
      <c r="AQ66" s="863"/>
      <c r="AR66" s="436">
        <v>422</v>
      </c>
      <c r="AS66" s="436">
        <v>376</v>
      </c>
      <c r="AT66" s="205">
        <v>10695</v>
      </c>
      <c r="AU66" s="436"/>
      <c r="AV66" s="436"/>
      <c r="AW66" s="436"/>
      <c r="AX66" s="205">
        <v>3702</v>
      </c>
      <c r="AY66" s="436">
        <v>2826</v>
      </c>
      <c r="AZ66" s="436">
        <v>282</v>
      </c>
      <c r="BA66" s="436">
        <v>1613</v>
      </c>
      <c r="BB66" s="436">
        <v>112</v>
      </c>
      <c r="BC66" s="436">
        <v>120</v>
      </c>
      <c r="BD66" s="436">
        <v>851</v>
      </c>
      <c r="BE66" s="436">
        <v>37067</v>
      </c>
      <c r="BF66" s="436">
        <v>39662</v>
      </c>
      <c r="BG66" s="205">
        <v>4537</v>
      </c>
      <c r="BH66" s="436">
        <v>652</v>
      </c>
      <c r="BI66" s="930"/>
      <c r="BJ66" s="863" t="s">
        <v>653</v>
      </c>
      <c r="BK66" s="863"/>
      <c r="BL66" s="436">
        <v>344</v>
      </c>
      <c r="BM66" s="436">
        <v>398</v>
      </c>
      <c r="BN66" s="436">
        <v>334</v>
      </c>
      <c r="BO66" s="205">
        <v>1539</v>
      </c>
      <c r="BP66" s="205">
        <v>1190</v>
      </c>
      <c r="BQ66" s="205">
        <v>5567</v>
      </c>
      <c r="BR66" s="436">
        <v>635</v>
      </c>
      <c r="BS66" s="436">
        <v>834</v>
      </c>
      <c r="BT66" s="436">
        <v>168</v>
      </c>
      <c r="BU66" s="436">
        <v>153</v>
      </c>
      <c r="BV66" s="189">
        <f t="shared" si="1"/>
        <v>178973</v>
      </c>
      <c r="BY66" s="435"/>
    </row>
    <row r="67" spans="1:77" ht="11.25" customHeight="1">
      <c r="A67" s="930"/>
      <c r="B67" s="863" t="s">
        <v>654</v>
      </c>
      <c r="C67" s="863"/>
      <c r="D67" s="205">
        <v>38305</v>
      </c>
      <c r="E67" s="205">
        <v>2484</v>
      </c>
      <c r="F67" s="205">
        <v>18433</v>
      </c>
      <c r="G67" s="205">
        <v>5552</v>
      </c>
      <c r="H67" s="205">
        <v>10597</v>
      </c>
      <c r="I67" s="205">
        <v>68761</v>
      </c>
      <c r="J67" s="205">
        <v>0</v>
      </c>
      <c r="K67" s="205">
        <v>126934</v>
      </c>
      <c r="L67" s="205">
        <v>44593</v>
      </c>
      <c r="M67" s="205">
        <v>22985</v>
      </c>
      <c r="N67" s="436">
        <v>29697</v>
      </c>
      <c r="O67" s="205">
        <v>20805</v>
      </c>
      <c r="P67" s="205">
        <v>8107</v>
      </c>
      <c r="Q67" s="205">
        <v>19288</v>
      </c>
      <c r="R67" s="205">
        <v>12955</v>
      </c>
      <c r="S67" s="205">
        <v>995</v>
      </c>
      <c r="T67" s="205">
        <v>0</v>
      </c>
      <c r="U67" s="930"/>
      <c r="V67" s="863" t="s">
        <v>654</v>
      </c>
      <c r="W67" s="863"/>
      <c r="X67" s="205">
        <v>0</v>
      </c>
      <c r="Y67" s="205">
        <v>0</v>
      </c>
      <c r="Z67" s="205">
        <v>0</v>
      </c>
      <c r="AA67" s="205">
        <v>0</v>
      </c>
      <c r="AB67" s="205">
        <v>89915</v>
      </c>
      <c r="AC67" s="205">
        <v>19910</v>
      </c>
      <c r="AD67" s="205">
        <v>21642</v>
      </c>
      <c r="AE67" s="205">
        <v>27121</v>
      </c>
      <c r="AF67" s="205">
        <v>25671</v>
      </c>
      <c r="AG67" s="205">
        <v>2906</v>
      </c>
      <c r="AH67" s="205">
        <v>648</v>
      </c>
      <c r="AI67" s="205">
        <v>4446</v>
      </c>
      <c r="AJ67" s="205">
        <v>120958</v>
      </c>
      <c r="AK67" s="205">
        <v>10585</v>
      </c>
      <c r="AL67" s="205">
        <v>0</v>
      </c>
      <c r="AM67" s="436">
        <v>12170</v>
      </c>
      <c r="AN67" s="436">
        <v>5464</v>
      </c>
      <c r="AO67" s="930"/>
      <c r="AP67" s="863" t="s">
        <v>654</v>
      </c>
      <c r="AQ67" s="863"/>
      <c r="AR67" s="436">
        <v>6040</v>
      </c>
      <c r="AS67" s="436">
        <v>19119</v>
      </c>
      <c r="AT67" s="205">
        <v>141464</v>
      </c>
      <c r="AU67" s="436"/>
      <c r="AV67" s="436"/>
      <c r="AW67" s="436"/>
      <c r="AX67" s="205">
        <v>87005</v>
      </c>
      <c r="AY67" s="436">
        <v>120284</v>
      </c>
      <c r="AZ67" s="436">
        <v>5997</v>
      </c>
      <c r="BA67" s="436">
        <v>28321</v>
      </c>
      <c r="BB67" s="436">
        <v>3147</v>
      </c>
      <c r="BC67" s="436">
        <v>16055</v>
      </c>
      <c r="BD67" s="436">
        <v>8913</v>
      </c>
      <c r="BE67" s="436">
        <v>294579</v>
      </c>
      <c r="BF67" s="436">
        <v>452154</v>
      </c>
      <c r="BG67" s="205">
        <v>46492</v>
      </c>
      <c r="BH67" s="436">
        <v>8871</v>
      </c>
      <c r="BI67" s="930"/>
      <c r="BJ67" s="863" t="s">
        <v>654</v>
      </c>
      <c r="BK67" s="863"/>
      <c r="BL67" s="436">
        <v>7113</v>
      </c>
      <c r="BM67" s="436">
        <v>5577</v>
      </c>
      <c r="BN67" s="436">
        <v>7059</v>
      </c>
      <c r="BO67" s="205">
        <v>11972</v>
      </c>
      <c r="BP67" s="205">
        <v>8006</v>
      </c>
      <c r="BQ67" s="205">
        <v>44554</v>
      </c>
      <c r="BR67" s="436">
        <v>31560</v>
      </c>
      <c r="BS67" s="436">
        <v>24148</v>
      </c>
      <c r="BT67" s="436">
        <v>2387</v>
      </c>
      <c r="BU67" s="436">
        <v>4446</v>
      </c>
      <c r="BV67" s="189">
        <f t="shared" si="1"/>
        <v>2157190</v>
      </c>
      <c r="BY67" s="435"/>
    </row>
    <row r="68" spans="1:77" ht="11.25" customHeight="1">
      <c r="A68" s="930"/>
      <c r="B68" s="863" t="s">
        <v>655</v>
      </c>
      <c r="C68" s="863"/>
      <c r="D68" s="205">
        <v>278694</v>
      </c>
      <c r="E68" s="205">
        <v>51531</v>
      </c>
      <c r="F68" s="205">
        <v>222810</v>
      </c>
      <c r="G68" s="205">
        <v>64182</v>
      </c>
      <c r="H68" s="205">
        <v>152092</v>
      </c>
      <c r="I68" s="205">
        <v>1150145</v>
      </c>
      <c r="J68" s="205">
        <v>0</v>
      </c>
      <c r="K68" s="205">
        <v>1129361</v>
      </c>
      <c r="L68" s="205">
        <v>289637</v>
      </c>
      <c r="M68" s="205">
        <v>171462</v>
      </c>
      <c r="N68" s="436">
        <v>346998</v>
      </c>
      <c r="O68" s="205">
        <v>342362</v>
      </c>
      <c r="P68" s="205">
        <v>493384</v>
      </c>
      <c r="Q68" s="205">
        <v>126915</v>
      </c>
      <c r="R68" s="205">
        <v>328097</v>
      </c>
      <c r="S68" s="205">
        <v>65579</v>
      </c>
      <c r="T68" s="205">
        <v>2388</v>
      </c>
      <c r="U68" s="930"/>
      <c r="V68" s="863" t="s">
        <v>655</v>
      </c>
      <c r="W68" s="863"/>
      <c r="X68" s="205">
        <v>543</v>
      </c>
      <c r="Y68" s="205">
        <v>14969</v>
      </c>
      <c r="Z68" s="205">
        <v>0</v>
      </c>
      <c r="AA68" s="205">
        <v>5000</v>
      </c>
      <c r="AB68" s="205">
        <v>708336</v>
      </c>
      <c r="AC68" s="205">
        <v>287034</v>
      </c>
      <c r="AD68" s="205">
        <v>191172</v>
      </c>
      <c r="AE68" s="205">
        <v>198689</v>
      </c>
      <c r="AF68" s="205">
        <v>111419</v>
      </c>
      <c r="AG68" s="205">
        <v>79314</v>
      </c>
      <c r="AH68" s="205">
        <v>50066</v>
      </c>
      <c r="AI68" s="205">
        <v>45598</v>
      </c>
      <c r="AJ68" s="205">
        <v>841019</v>
      </c>
      <c r="AK68" s="205">
        <v>146324</v>
      </c>
      <c r="AL68" s="205">
        <v>66887</v>
      </c>
      <c r="AM68" s="436">
        <v>117811</v>
      </c>
      <c r="AN68" s="436">
        <v>89483</v>
      </c>
      <c r="AO68" s="930"/>
      <c r="AP68" s="863" t="s">
        <v>655</v>
      </c>
      <c r="AQ68" s="863"/>
      <c r="AR68" s="436">
        <v>61977</v>
      </c>
      <c r="AS68" s="436">
        <v>97773</v>
      </c>
      <c r="AT68" s="205">
        <v>1989882</v>
      </c>
      <c r="AU68" s="436"/>
      <c r="AV68" s="436"/>
      <c r="AW68" s="436"/>
      <c r="AX68" s="205">
        <v>692918</v>
      </c>
      <c r="AY68" s="436">
        <v>1048202</v>
      </c>
      <c r="AZ68" s="436">
        <v>62894</v>
      </c>
      <c r="BA68" s="436">
        <v>243946</v>
      </c>
      <c r="BB68" s="436">
        <v>89909</v>
      </c>
      <c r="BC68" s="436">
        <v>85624</v>
      </c>
      <c r="BD68" s="436">
        <v>104254</v>
      </c>
      <c r="BE68" s="436">
        <v>1708989</v>
      </c>
      <c r="BF68" s="436">
        <v>2796151</v>
      </c>
      <c r="BG68" s="205">
        <v>482534</v>
      </c>
      <c r="BH68" s="436">
        <v>70340</v>
      </c>
      <c r="BI68" s="930"/>
      <c r="BJ68" s="863" t="s">
        <v>655</v>
      </c>
      <c r="BK68" s="863"/>
      <c r="BL68" s="436">
        <v>54859</v>
      </c>
      <c r="BM68" s="436">
        <v>53276</v>
      </c>
      <c r="BN68" s="436">
        <v>81070</v>
      </c>
      <c r="BO68" s="205">
        <v>104546</v>
      </c>
      <c r="BP68" s="205">
        <v>65024</v>
      </c>
      <c r="BQ68" s="205">
        <v>424136</v>
      </c>
      <c r="BR68" s="436">
        <v>304628</v>
      </c>
      <c r="BS68" s="436">
        <v>154067</v>
      </c>
      <c r="BT68" s="436">
        <v>35200</v>
      </c>
      <c r="BU68" s="436">
        <v>25023</v>
      </c>
      <c r="BV68" s="189">
        <f t="shared" si="1"/>
        <v>19006523</v>
      </c>
      <c r="BY68" s="435"/>
    </row>
    <row r="69" spans="1:77" ht="11.25" customHeight="1">
      <c r="A69" s="930"/>
      <c r="B69" s="863" t="s">
        <v>656</v>
      </c>
      <c r="C69" s="863"/>
      <c r="D69" s="205">
        <v>122306</v>
      </c>
      <c r="E69" s="205">
        <v>0</v>
      </c>
      <c r="F69" s="205">
        <v>49350</v>
      </c>
      <c r="G69" s="205">
        <v>20715</v>
      </c>
      <c r="H69" s="205">
        <v>0</v>
      </c>
      <c r="I69" s="205">
        <v>134483</v>
      </c>
      <c r="J69" s="205">
        <v>0</v>
      </c>
      <c r="K69" s="205">
        <v>0</v>
      </c>
      <c r="L69" s="205">
        <v>13871</v>
      </c>
      <c r="M69" s="205">
        <v>0</v>
      </c>
      <c r="N69" s="436">
        <v>0</v>
      </c>
      <c r="O69" s="205">
        <v>0</v>
      </c>
      <c r="P69" s="205">
        <v>0</v>
      </c>
      <c r="Q69" s="205">
        <v>0</v>
      </c>
      <c r="R69" s="205">
        <v>0</v>
      </c>
      <c r="S69" s="205">
        <v>0</v>
      </c>
      <c r="T69" s="205">
        <v>0</v>
      </c>
      <c r="U69" s="930"/>
      <c r="V69" s="863" t="s">
        <v>656</v>
      </c>
      <c r="W69" s="863"/>
      <c r="X69" s="205">
        <v>0</v>
      </c>
      <c r="Y69" s="205">
        <v>0</v>
      </c>
      <c r="Z69" s="205">
        <v>0</v>
      </c>
      <c r="AA69" s="205">
        <v>1000</v>
      </c>
      <c r="AB69" s="205">
        <v>358213</v>
      </c>
      <c r="AC69" s="205">
        <v>131293</v>
      </c>
      <c r="AD69" s="205">
        <v>5081</v>
      </c>
      <c r="AE69" s="205">
        <v>123749</v>
      </c>
      <c r="AF69" s="205">
        <v>0</v>
      </c>
      <c r="AG69" s="205">
        <v>72484</v>
      </c>
      <c r="AH69" s="205">
        <v>856</v>
      </c>
      <c r="AI69" s="205">
        <v>24521</v>
      </c>
      <c r="AJ69" s="205">
        <v>0</v>
      </c>
      <c r="AK69" s="205">
        <v>0</v>
      </c>
      <c r="AL69" s="205">
        <v>0</v>
      </c>
      <c r="AM69" s="436">
        <v>0</v>
      </c>
      <c r="AN69" s="436">
        <v>0</v>
      </c>
      <c r="AO69" s="930"/>
      <c r="AP69" s="863" t="s">
        <v>656</v>
      </c>
      <c r="AQ69" s="863"/>
      <c r="AR69" s="436">
        <v>0</v>
      </c>
      <c r="AS69" s="436">
        <v>0</v>
      </c>
      <c r="AT69" s="205">
        <v>1013622</v>
      </c>
      <c r="AU69" s="436"/>
      <c r="AV69" s="436"/>
      <c r="AW69" s="436"/>
      <c r="AX69" s="205">
        <v>267328</v>
      </c>
      <c r="AY69" s="436">
        <v>0</v>
      </c>
      <c r="AZ69" s="436">
        <v>24284</v>
      </c>
      <c r="BA69" s="436">
        <v>0</v>
      </c>
      <c r="BB69" s="436">
        <v>0</v>
      </c>
      <c r="BC69" s="436">
        <v>0</v>
      </c>
      <c r="BD69" s="436">
        <v>0</v>
      </c>
      <c r="BE69" s="436">
        <v>629</v>
      </c>
      <c r="BF69" s="436">
        <v>0</v>
      </c>
      <c r="BG69" s="205">
        <v>0</v>
      </c>
      <c r="BH69" s="436">
        <v>10776</v>
      </c>
      <c r="BI69" s="930"/>
      <c r="BJ69" s="863" t="s">
        <v>656</v>
      </c>
      <c r="BK69" s="863"/>
      <c r="BL69" s="436">
        <v>0</v>
      </c>
      <c r="BM69" s="436">
        <v>0</v>
      </c>
      <c r="BN69" s="436">
        <v>0</v>
      </c>
      <c r="BO69" s="205">
        <v>0</v>
      </c>
      <c r="BP69" s="205">
        <v>0</v>
      </c>
      <c r="BQ69" s="205">
        <v>0</v>
      </c>
      <c r="BR69" s="436">
        <v>0</v>
      </c>
      <c r="BS69" s="436">
        <v>0</v>
      </c>
      <c r="BT69" s="436">
        <v>0</v>
      </c>
      <c r="BU69" s="436">
        <v>0</v>
      </c>
      <c r="BV69" s="189">
        <f t="shared" si="1"/>
        <v>2374561</v>
      </c>
      <c r="BY69" s="435"/>
    </row>
    <row r="70" spans="1:77" ht="11.25" customHeight="1">
      <c r="A70" s="930"/>
      <c r="B70" s="793" t="s">
        <v>657</v>
      </c>
      <c r="C70" s="793"/>
      <c r="D70" s="205">
        <v>366078</v>
      </c>
      <c r="E70" s="205">
        <v>0</v>
      </c>
      <c r="F70" s="205">
        <v>52072</v>
      </c>
      <c r="G70" s="205">
        <v>12274</v>
      </c>
      <c r="H70" s="205">
        <v>10696</v>
      </c>
      <c r="I70" s="205">
        <v>196667</v>
      </c>
      <c r="J70" s="205">
        <v>1200</v>
      </c>
      <c r="K70" s="205">
        <v>288719</v>
      </c>
      <c r="L70" s="205">
        <v>65936</v>
      </c>
      <c r="M70" s="205">
        <v>24907</v>
      </c>
      <c r="N70" s="436">
        <v>46201</v>
      </c>
      <c r="O70" s="205">
        <v>116414</v>
      </c>
      <c r="P70" s="205">
        <v>0</v>
      </c>
      <c r="Q70" s="205">
        <v>17243</v>
      </c>
      <c r="R70" s="205">
        <v>38411</v>
      </c>
      <c r="S70" s="205">
        <v>15287</v>
      </c>
      <c r="T70" s="205">
        <v>0</v>
      </c>
      <c r="U70" s="930"/>
      <c r="V70" s="793" t="s">
        <v>657</v>
      </c>
      <c r="W70" s="793"/>
      <c r="X70" s="205">
        <v>0</v>
      </c>
      <c r="Y70" s="205">
        <v>0</v>
      </c>
      <c r="Z70" s="205">
        <v>0</v>
      </c>
      <c r="AA70" s="205">
        <v>1006</v>
      </c>
      <c r="AB70" s="205">
        <v>48358</v>
      </c>
      <c r="AC70" s="205">
        <v>43744</v>
      </c>
      <c r="AD70" s="205">
        <v>26115</v>
      </c>
      <c r="AE70" s="205">
        <v>23072</v>
      </c>
      <c r="AF70" s="205">
        <v>4204</v>
      </c>
      <c r="AG70" s="205">
        <v>16294</v>
      </c>
      <c r="AH70" s="205">
        <v>2901</v>
      </c>
      <c r="AI70" s="205">
        <v>9104</v>
      </c>
      <c r="AJ70" s="205">
        <v>0</v>
      </c>
      <c r="AK70" s="205">
        <v>13885</v>
      </c>
      <c r="AL70" s="205">
        <v>0</v>
      </c>
      <c r="AM70" s="436">
        <v>20012</v>
      </c>
      <c r="AN70" s="436">
        <v>3174</v>
      </c>
      <c r="AO70" s="930"/>
      <c r="AP70" s="793" t="s">
        <v>657</v>
      </c>
      <c r="AQ70" s="793"/>
      <c r="AR70" s="436">
        <v>7063</v>
      </c>
      <c r="AS70" s="436">
        <v>9406</v>
      </c>
      <c r="AT70" s="205">
        <v>751105</v>
      </c>
      <c r="AU70" s="436"/>
      <c r="AV70" s="436"/>
      <c r="AW70" s="436"/>
      <c r="AX70" s="205">
        <v>176000</v>
      </c>
      <c r="AY70" s="436">
        <v>197699</v>
      </c>
      <c r="AZ70" s="436">
        <v>22274</v>
      </c>
      <c r="BA70" s="436">
        <v>25596</v>
      </c>
      <c r="BB70" s="436">
        <v>9635</v>
      </c>
      <c r="BC70" s="436">
        <v>0</v>
      </c>
      <c r="BD70" s="436">
        <v>39247</v>
      </c>
      <c r="BE70" s="436">
        <v>361359</v>
      </c>
      <c r="BF70" s="436">
        <v>0</v>
      </c>
      <c r="BG70" s="205">
        <v>0</v>
      </c>
      <c r="BH70" s="436">
        <v>45192</v>
      </c>
      <c r="BI70" s="930"/>
      <c r="BJ70" s="793" t="s">
        <v>657</v>
      </c>
      <c r="BK70" s="793"/>
      <c r="BL70" s="436">
        <v>0</v>
      </c>
      <c r="BM70" s="436">
        <v>0</v>
      </c>
      <c r="BN70" s="436">
        <v>16339</v>
      </c>
      <c r="BO70" s="205">
        <v>6205</v>
      </c>
      <c r="BP70" s="205">
        <v>5919</v>
      </c>
      <c r="BQ70" s="205">
        <v>102069</v>
      </c>
      <c r="BR70" s="436">
        <v>25578</v>
      </c>
      <c r="BS70" s="436">
        <v>0</v>
      </c>
      <c r="BT70" s="436">
        <v>7771</v>
      </c>
      <c r="BU70" s="436">
        <v>7380</v>
      </c>
      <c r="BV70" s="189">
        <f t="shared" si="1"/>
        <v>3279811</v>
      </c>
      <c r="BY70" s="435"/>
    </row>
    <row r="71" spans="1:77" s="435" customFormat="1" ht="11.25" customHeight="1">
      <c r="A71" s="930"/>
      <c r="B71" s="863" t="s">
        <v>658</v>
      </c>
      <c r="C71" s="863"/>
      <c r="D71" s="205">
        <v>29576</v>
      </c>
      <c r="E71" s="205">
        <v>12904</v>
      </c>
      <c r="F71" s="205">
        <v>18201</v>
      </c>
      <c r="G71" s="205">
        <v>19886</v>
      </c>
      <c r="H71" s="205">
        <v>29339</v>
      </c>
      <c r="I71" s="205">
        <v>208119</v>
      </c>
      <c r="J71" s="205">
        <v>2380</v>
      </c>
      <c r="K71" s="205">
        <v>198868</v>
      </c>
      <c r="L71" s="205">
        <v>17188</v>
      </c>
      <c r="M71" s="205">
        <v>12899</v>
      </c>
      <c r="N71" s="436">
        <v>66198</v>
      </c>
      <c r="O71" s="205">
        <v>127061</v>
      </c>
      <c r="P71" s="205">
        <v>287486</v>
      </c>
      <c r="Q71" s="205">
        <v>35826</v>
      </c>
      <c r="R71" s="205">
        <v>38829</v>
      </c>
      <c r="S71" s="205">
        <v>10658</v>
      </c>
      <c r="T71" s="205">
        <v>3058</v>
      </c>
      <c r="U71" s="930"/>
      <c r="V71" s="863" t="s">
        <v>658</v>
      </c>
      <c r="W71" s="863"/>
      <c r="X71" s="205">
        <v>0</v>
      </c>
      <c r="Y71" s="205">
        <v>5488</v>
      </c>
      <c r="Z71" s="205">
        <v>20000</v>
      </c>
      <c r="AA71" s="205">
        <v>443</v>
      </c>
      <c r="AB71" s="205">
        <v>65570</v>
      </c>
      <c r="AC71" s="205">
        <v>27083</v>
      </c>
      <c r="AD71" s="205">
        <v>34522</v>
      </c>
      <c r="AE71" s="205">
        <v>11700</v>
      </c>
      <c r="AF71" s="205">
        <v>18811</v>
      </c>
      <c r="AG71" s="205">
        <v>28095</v>
      </c>
      <c r="AH71" s="205">
        <v>21734</v>
      </c>
      <c r="AI71" s="205">
        <v>4747</v>
      </c>
      <c r="AJ71" s="205">
        <v>560582</v>
      </c>
      <c r="AK71" s="205">
        <v>43212</v>
      </c>
      <c r="AL71" s="205">
        <v>38463</v>
      </c>
      <c r="AM71" s="436">
        <v>19995</v>
      </c>
      <c r="AN71" s="436">
        <v>25389</v>
      </c>
      <c r="AO71" s="930"/>
      <c r="AP71" s="863" t="s">
        <v>658</v>
      </c>
      <c r="AQ71" s="863"/>
      <c r="AR71" s="436">
        <v>30538</v>
      </c>
      <c r="AS71" s="436">
        <v>6798</v>
      </c>
      <c r="AT71" s="205">
        <v>282975</v>
      </c>
      <c r="AU71" s="436"/>
      <c r="AV71" s="436"/>
      <c r="AW71" s="436"/>
      <c r="AX71" s="205">
        <v>52240</v>
      </c>
      <c r="AY71" s="436">
        <v>57790</v>
      </c>
      <c r="AZ71" s="436">
        <v>15535</v>
      </c>
      <c r="BA71" s="436">
        <v>25163</v>
      </c>
      <c r="BB71" s="436">
        <v>7727</v>
      </c>
      <c r="BC71" s="436">
        <v>18217</v>
      </c>
      <c r="BD71" s="436">
        <v>25729</v>
      </c>
      <c r="BE71" s="436">
        <v>174250</v>
      </c>
      <c r="BF71" s="436">
        <v>1219893</v>
      </c>
      <c r="BG71" s="205">
        <v>199097</v>
      </c>
      <c r="BH71" s="436">
        <v>26807</v>
      </c>
      <c r="BI71" s="930"/>
      <c r="BJ71" s="863" t="s">
        <v>658</v>
      </c>
      <c r="BK71" s="863"/>
      <c r="BL71" s="436">
        <v>24108</v>
      </c>
      <c r="BM71" s="436">
        <v>31266</v>
      </c>
      <c r="BN71" s="436">
        <v>12280</v>
      </c>
      <c r="BO71" s="205">
        <v>8153</v>
      </c>
      <c r="BP71" s="205">
        <v>3890</v>
      </c>
      <c r="BQ71" s="205">
        <v>62872</v>
      </c>
      <c r="BR71" s="436">
        <v>7910</v>
      </c>
      <c r="BS71" s="436">
        <v>37585</v>
      </c>
      <c r="BT71" s="436">
        <v>5797</v>
      </c>
      <c r="BU71" s="436">
        <v>10713</v>
      </c>
      <c r="BV71" s="189">
        <f t="shared" si="1"/>
        <v>4391643</v>
      </c>
    </row>
    <row r="72" spans="1:77" s="435" customFormat="1" ht="11.25" customHeight="1">
      <c r="A72" s="930"/>
      <c r="B72" s="863" t="s">
        <v>659</v>
      </c>
      <c r="C72" s="863"/>
      <c r="D72" s="191">
        <v>879363</v>
      </c>
      <c r="E72" s="191">
        <v>87909</v>
      </c>
      <c r="F72" s="191">
        <v>496935</v>
      </c>
      <c r="G72" s="191">
        <v>154918</v>
      </c>
      <c r="H72" s="191">
        <v>254706</v>
      </c>
      <c r="I72" s="191">
        <v>2280350</v>
      </c>
      <c r="J72" s="191">
        <v>16695</v>
      </c>
      <c r="K72" s="191">
        <v>2402509</v>
      </c>
      <c r="L72" s="191">
        <v>521339</v>
      </c>
      <c r="M72" s="191">
        <v>262665</v>
      </c>
      <c r="N72" s="191">
        <v>681956</v>
      </c>
      <c r="O72" s="191">
        <v>814396</v>
      </c>
      <c r="P72" s="191">
        <v>981637</v>
      </c>
      <c r="Q72" s="191">
        <v>248390</v>
      </c>
      <c r="R72" s="191">
        <v>511109</v>
      </c>
      <c r="S72" s="191">
        <v>135550</v>
      </c>
      <c r="T72" s="191">
        <v>21204</v>
      </c>
      <c r="U72" s="930"/>
      <c r="V72" s="863" t="s">
        <v>659</v>
      </c>
      <c r="W72" s="863"/>
      <c r="X72" s="191">
        <v>72643</v>
      </c>
      <c r="Y72" s="191">
        <v>59662</v>
      </c>
      <c r="Z72" s="191">
        <v>45400</v>
      </c>
      <c r="AA72" s="191">
        <v>32197</v>
      </c>
      <c r="AB72" s="191">
        <v>1479040</v>
      </c>
      <c r="AC72" s="191">
        <v>636901</v>
      </c>
      <c r="AD72" s="191">
        <v>350929</v>
      </c>
      <c r="AE72" s="191">
        <v>441766</v>
      </c>
      <c r="AF72" s="191">
        <v>194661</v>
      </c>
      <c r="AG72" s="191">
        <v>237495</v>
      </c>
      <c r="AH72" s="191">
        <v>109224</v>
      </c>
      <c r="AI72" s="191">
        <v>117670</v>
      </c>
      <c r="AJ72" s="191">
        <v>1757857</v>
      </c>
      <c r="AK72" s="191">
        <v>264216</v>
      </c>
      <c r="AL72" s="191">
        <v>140913</v>
      </c>
      <c r="AM72" s="191">
        <v>192227</v>
      </c>
      <c r="AN72" s="191">
        <v>142925</v>
      </c>
      <c r="AO72" s="930"/>
      <c r="AP72" s="863" t="s">
        <v>659</v>
      </c>
      <c r="AQ72" s="863"/>
      <c r="AR72" s="191">
        <v>129155</v>
      </c>
      <c r="AS72" s="191">
        <v>154981</v>
      </c>
      <c r="AT72" s="191">
        <v>4834876</v>
      </c>
      <c r="AU72" s="191"/>
      <c r="AV72" s="191"/>
      <c r="AW72" s="191"/>
      <c r="AX72" s="191">
        <v>1462619</v>
      </c>
      <c r="AY72" s="191">
        <v>1731467</v>
      </c>
      <c r="AZ72" s="191">
        <v>175600</v>
      </c>
      <c r="BA72" s="191">
        <v>407325</v>
      </c>
      <c r="BB72" s="191">
        <v>148377</v>
      </c>
      <c r="BC72" s="191">
        <v>143736</v>
      </c>
      <c r="BD72" s="191">
        <v>233327</v>
      </c>
      <c r="BE72" s="191">
        <v>3366721</v>
      </c>
      <c r="BF72" s="191">
        <v>5517292</v>
      </c>
      <c r="BG72" s="191">
        <v>988046</v>
      </c>
      <c r="BH72" s="191">
        <v>173810</v>
      </c>
      <c r="BI72" s="930"/>
      <c r="BJ72" s="863" t="s">
        <v>659</v>
      </c>
      <c r="BK72" s="863"/>
      <c r="BL72" s="191">
        <v>139778</v>
      </c>
      <c r="BM72" s="191">
        <v>115277</v>
      </c>
      <c r="BN72" s="191">
        <v>168965</v>
      </c>
      <c r="BO72" s="191">
        <v>161598</v>
      </c>
      <c r="BP72" s="191">
        <v>104848</v>
      </c>
      <c r="BQ72" s="191">
        <v>785537</v>
      </c>
      <c r="BR72" s="191">
        <v>504528</v>
      </c>
      <c r="BS72" s="191">
        <v>259012</v>
      </c>
      <c r="BT72" s="191">
        <v>71485</v>
      </c>
      <c r="BU72" s="191">
        <v>63086</v>
      </c>
      <c r="BV72" s="189">
        <f t="shared" si="1"/>
        <v>38868803</v>
      </c>
    </row>
    <row r="73" spans="1:77" s="435" customFormat="1" ht="11.25" customHeight="1">
      <c r="A73" s="930"/>
      <c r="B73" s="863" t="s">
        <v>660</v>
      </c>
      <c r="C73" s="863"/>
      <c r="D73" s="191">
        <v>0</v>
      </c>
      <c r="E73" s="191">
        <v>1098</v>
      </c>
      <c r="F73" s="191">
        <v>10635</v>
      </c>
      <c r="G73" s="191">
        <v>0</v>
      </c>
      <c r="H73" s="191">
        <v>4567</v>
      </c>
      <c r="I73" s="191">
        <v>24499</v>
      </c>
      <c r="J73" s="191">
        <v>0</v>
      </c>
      <c r="K73" s="191">
        <v>27</v>
      </c>
      <c r="L73" s="191">
        <v>2176</v>
      </c>
      <c r="M73" s="191">
        <v>0</v>
      </c>
      <c r="N73" s="439">
        <v>0</v>
      </c>
      <c r="O73" s="191">
        <v>4236</v>
      </c>
      <c r="P73" s="191">
        <v>887</v>
      </c>
      <c r="Q73" s="191">
        <v>6966</v>
      </c>
      <c r="R73" s="191">
        <v>0</v>
      </c>
      <c r="S73" s="191">
        <v>0</v>
      </c>
      <c r="T73" s="191">
        <v>0</v>
      </c>
      <c r="U73" s="930"/>
      <c r="V73" s="863" t="s">
        <v>660</v>
      </c>
      <c r="W73" s="863"/>
      <c r="X73" s="191">
        <v>0</v>
      </c>
      <c r="Y73" s="191">
        <v>114</v>
      </c>
      <c r="Z73" s="191">
        <v>20000</v>
      </c>
      <c r="AA73" s="191">
        <v>3694</v>
      </c>
      <c r="AB73" s="191">
        <v>0</v>
      </c>
      <c r="AC73" s="191">
        <v>0</v>
      </c>
      <c r="AD73" s="191">
        <v>0</v>
      </c>
      <c r="AE73" s="191">
        <v>6957</v>
      </c>
      <c r="AF73" s="191">
        <v>0</v>
      </c>
      <c r="AG73" s="191">
        <v>0</v>
      </c>
      <c r="AH73" s="191">
        <v>0</v>
      </c>
      <c r="AI73" s="191">
        <v>0</v>
      </c>
      <c r="AJ73" s="191">
        <v>6169</v>
      </c>
      <c r="AK73" s="191">
        <v>0</v>
      </c>
      <c r="AL73" s="191">
        <v>436</v>
      </c>
      <c r="AM73" s="439">
        <v>0</v>
      </c>
      <c r="AN73" s="439">
        <v>22030</v>
      </c>
      <c r="AO73" s="930"/>
      <c r="AP73" s="863" t="s">
        <v>660</v>
      </c>
      <c r="AQ73" s="863"/>
      <c r="AR73" s="439">
        <v>1851</v>
      </c>
      <c r="AS73" s="439">
        <v>0</v>
      </c>
      <c r="AT73" s="191">
        <v>12907</v>
      </c>
      <c r="AU73" s="439"/>
      <c r="AV73" s="439"/>
      <c r="AW73" s="439"/>
      <c r="AX73" s="191">
        <v>1746</v>
      </c>
      <c r="AY73" s="439">
        <v>5554</v>
      </c>
      <c r="AZ73" s="439">
        <v>0</v>
      </c>
      <c r="BA73" s="439">
        <v>0</v>
      </c>
      <c r="BB73" s="439">
        <v>2357</v>
      </c>
      <c r="BC73" s="439">
        <v>0</v>
      </c>
      <c r="BD73" s="439">
        <v>0</v>
      </c>
      <c r="BE73" s="439">
        <v>0</v>
      </c>
      <c r="BF73" s="439">
        <v>0</v>
      </c>
      <c r="BG73" s="191">
        <v>0</v>
      </c>
      <c r="BH73" s="439">
        <v>0</v>
      </c>
      <c r="BI73" s="930"/>
      <c r="BJ73" s="863" t="s">
        <v>660</v>
      </c>
      <c r="BK73" s="863"/>
      <c r="BL73" s="439">
        <v>3039</v>
      </c>
      <c r="BM73" s="439">
        <v>0</v>
      </c>
      <c r="BN73" s="439">
        <v>658</v>
      </c>
      <c r="BO73" s="191">
        <v>0</v>
      </c>
      <c r="BP73" s="191">
        <v>0</v>
      </c>
      <c r="BQ73" s="191">
        <v>3636</v>
      </c>
      <c r="BR73" s="439">
        <v>0</v>
      </c>
      <c r="BS73" s="439">
        <v>2497</v>
      </c>
      <c r="BT73" s="439">
        <v>0</v>
      </c>
      <c r="BU73" s="439">
        <v>0</v>
      </c>
      <c r="BV73" s="189">
        <f t="shared" si="1"/>
        <v>148736</v>
      </c>
    </row>
    <row r="74" spans="1:77" ht="11.25" customHeight="1">
      <c r="A74" s="930"/>
      <c r="B74" s="864" t="s">
        <v>661</v>
      </c>
      <c r="C74" s="864"/>
      <c r="D74" s="196">
        <v>879363</v>
      </c>
      <c r="E74" s="196">
        <v>89007</v>
      </c>
      <c r="F74" s="196">
        <v>507570</v>
      </c>
      <c r="G74" s="196">
        <v>154918</v>
      </c>
      <c r="H74" s="196">
        <v>259273</v>
      </c>
      <c r="I74" s="196">
        <v>2304849</v>
      </c>
      <c r="J74" s="196">
        <v>16695</v>
      </c>
      <c r="K74" s="196">
        <v>2402536</v>
      </c>
      <c r="L74" s="196">
        <v>523515</v>
      </c>
      <c r="M74" s="196">
        <v>262665</v>
      </c>
      <c r="N74" s="196">
        <v>681956</v>
      </c>
      <c r="O74" s="196">
        <v>818632</v>
      </c>
      <c r="P74" s="196">
        <v>982524</v>
      </c>
      <c r="Q74" s="196">
        <v>255356</v>
      </c>
      <c r="R74" s="196">
        <v>511109</v>
      </c>
      <c r="S74" s="196">
        <v>135550</v>
      </c>
      <c r="T74" s="196">
        <v>21204</v>
      </c>
      <c r="U74" s="930"/>
      <c r="V74" s="864" t="s">
        <v>661</v>
      </c>
      <c r="W74" s="864"/>
      <c r="X74" s="196">
        <v>72643</v>
      </c>
      <c r="Y74" s="196">
        <v>59776</v>
      </c>
      <c r="Z74" s="196">
        <v>65400</v>
      </c>
      <c r="AA74" s="196">
        <v>35891</v>
      </c>
      <c r="AB74" s="196">
        <v>1479040</v>
      </c>
      <c r="AC74" s="196">
        <v>636901</v>
      </c>
      <c r="AD74" s="196">
        <v>350929</v>
      </c>
      <c r="AE74" s="196">
        <v>448723</v>
      </c>
      <c r="AF74" s="196">
        <v>194661</v>
      </c>
      <c r="AG74" s="196">
        <v>237495</v>
      </c>
      <c r="AH74" s="196">
        <v>109224</v>
      </c>
      <c r="AI74" s="196">
        <v>117670</v>
      </c>
      <c r="AJ74" s="196">
        <v>1764026</v>
      </c>
      <c r="AK74" s="196">
        <v>264216</v>
      </c>
      <c r="AL74" s="196">
        <v>141349</v>
      </c>
      <c r="AM74" s="196">
        <v>192227</v>
      </c>
      <c r="AN74" s="196">
        <v>164955</v>
      </c>
      <c r="AO74" s="930"/>
      <c r="AP74" s="864" t="s">
        <v>661</v>
      </c>
      <c r="AQ74" s="864"/>
      <c r="AR74" s="196">
        <v>131006</v>
      </c>
      <c r="AS74" s="196">
        <v>154981</v>
      </c>
      <c r="AT74" s="196">
        <v>4847783</v>
      </c>
      <c r="AU74" s="196"/>
      <c r="AV74" s="196"/>
      <c r="AW74" s="196"/>
      <c r="AX74" s="196">
        <v>1464365</v>
      </c>
      <c r="AY74" s="196">
        <v>1737021</v>
      </c>
      <c r="AZ74" s="196">
        <v>175600</v>
      </c>
      <c r="BA74" s="196">
        <v>407325</v>
      </c>
      <c r="BB74" s="196">
        <v>150734</v>
      </c>
      <c r="BC74" s="196">
        <v>143736</v>
      </c>
      <c r="BD74" s="196">
        <v>233327</v>
      </c>
      <c r="BE74" s="196">
        <v>3366721</v>
      </c>
      <c r="BF74" s="196">
        <v>5517292</v>
      </c>
      <c r="BG74" s="196">
        <v>988046</v>
      </c>
      <c r="BH74" s="196">
        <v>173810</v>
      </c>
      <c r="BI74" s="930"/>
      <c r="BJ74" s="864" t="s">
        <v>661</v>
      </c>
      <c r="BK74" s="864"/>
      <c r="BL74" s="196">
        <v>142817</v>
      </c>
      <c r="BM74" s="196">
        <v>115277</v>
      </c>
      <c r="BN74" s="196">
        <v>169623</v>
      </c>
      <c r="BO74" s="196">
        <v>161598</v>
      </c>
      <c r="BP74" s="196">
        <v>104848</v>
      </c>
      <c r="BQ74" s="196">
        <v>789173</v>
      </c>
      <c r="BR74" s="196">
        <v>504528</v>
      </c>
      <c r="BS74" s="196">
        <v>261509</v>
      </c>
      <c r="BT74" s="196">
        <v>71485</v>
      </c>
      <c r="BU74" s="196">
        <v>63086</v>
      </c>
      <c r="BV74" s="197">
        <f t="shared" si="1"/>
        <v>39017539</v>
      </c>
      <c r="BY74" s="435"/>
    </row>
    <row r="75" spans="1:77" ht="11.25" customHeight="1">
      <c r="A75" s="927" t="s">
        <v>662</v>
      </c>
      <c r="B75" s="928"/>
      <c r="C75" s="929"/>
      <c r="D75" s="445">
        <v>6</v>
      </c>
      <c r="E75" s="445">
        <v>3</v>
      </c>
      <c r="F75" s="445">
        <v>14</v>
      </c>
      <c r="G75" s="445">
        <v>5</v>
      </c>
      <c r="H75" s="445">
        <v>4</v>
      </c>
      <c r="I75" s="445">
        <v>59</v>
      </c>
      <c r="J75" s="445">
        <v>6</v>
      </c>
      <c r="K75" s="445">
        <v>55</v>
      </c>
      <c r="L75" s="445">
        <v>3</v>
      </c>
      <c r="M75" s="445">
        <v>9</v>
      </c>
      <c r="N75" s="445">
        <v>17</v>
      </c>
      <c r="O75" s="445">
        <v>19</v>
      </c>
      <c r="P75" s="445">
        <v>18</v>
      </c>
      <c r="Q75" s="445">
        <v>7</v>
      </c>
      <c r="R75" s="445">
        <v>8</v>
      </c>
      <c r="S75" s="445">
        <v>4</v>
      </c>
      <c r="T75" s="445">
        <v>4</v>
      </c>
      <c r="U75" s="927" t="s">
        <v>662</v>
      </c>
      <c r="V75" s="928"/>
      <c r="W75" s="929"/>
      <c r="X75" s="447">
        <v>13</v>
      </c>
      <c r="Y75" s="447">
        <v>3</v>
      </c>
      <c r="Z75" s="447">
        <v>4</v>
      </c>
      <c r="AA75" s="447">
        <v>0</v>
      </c>
      <c r="AB75" s="447">
        <v>22</v>
      </c>
      <c r="AC75" s="208">
        <v>6</v>
      </c>
      <c r="AD75" s="208">
        <v>9</v>
      </c>
      <c r="AE75" s="447">
        <v>13</v>
      </c>
      <c r="AF75" s="447">
        <v>6</v>
      </c>
      <c r="AG75" s="447">
        <v>5</v>
      </c>
      <c r="AH75" s="447">
        <v>2</v>
      </c>
      <c r="AI75" s="447">
        <v>3</v>
      </c>
      <c r="AJ75" s="447">
        <v>28</v>
      </c>
      <c r="AK75" s="447">
        <v>5</v>
      </c>
      <c r="AL75" s="447">
        <v>6</v>
      </c>
      <c r="AM75" s="447">
        <v>9</v>
      </c>
      <c r="AN75" s="447">
        <v>3</v>
      </c>
      <c r="AO75" s="927" t="s">
        <v>662</v>
      </c>
      <c r="AP75" s="928"/>
      <c r="AQ75" s="929"/>
      <c r="AR75" s="447">
        <v>2</v>
      </c>
      <c r="AS75" s="447">
        <v>1</v>
      </c>
      <c r="AT75" s="448">
        <v>61</v>
      </c>
      <c r="AU75" s="448">
        <v>4</v>
      </c>
      <c r="AV75" s="448">
        <v>4</v>
      </c>
      <c r="AW75" s="448">
        <v>1</v>
      </c>
      <c r="AX75" s="208">
        <v>24</v>
      </c>
      <c r="AY75" s="447">
        <v>20</v>
      </c>
      <c r="AZ75" s="447">
        <v>2</v>
      </c>
      <c r="BA75" s="447">
        <v>12</v>
      </c>
      <c r="BB75" s="447">
        <v>4</v>
      </c>
      <c r="BC75" s="447">
        <v>3</v>
      </c>
      <c r="BD75" s="447">
        <v>8</v>
      </c>
      <c r="BE75" s="447">
        <v>51</v>
      </c>
      <c r="BF75" s="447">
        <v>121</v>
      </c>
      <c r="BG75" s="447">
        <v>23</v>
      </c>
      <c r="BH75" s="447">
        <v>3</v>
      </c>
      <c r="BI75" s="927" t="s">
        <v>662</v>
      </c>
      <c r="BJ75" s="928"/>
      <c r="BK75" s="929"/>
      <c r="BL75" s="447">
        <v>5</v>
      </c>
      <c r="BM75" s="447">
        <v>5</v>
      </c>
      <c r="BN75" s="447">
        <v>4</v>
      </c>
      <c r="BO75" s="447">
        <v>2</v>
      </c>
      <c r="BP75" s="447">
        <v>2</v>
      </c>
      <c r="BQ75" s="208">
        <v>12</v>
      </c>
      <c r="BR75" s="447">
        <v>10</v>
      </c>
      <c r="BS75" s="447">
        <v>6</v>
      </c>
      <c r="BT75" s="447">
        <v>2</v>
      </c>
      <c r="BU75" s="447">
        <v>3</v>
      </c>
      <c r="BV75" s="209">
        <f t="shared" si="1"/>
        <v>773</v>
      </c>
      <c r="BY75" s="435"/>
    </row>
    <row r="76" spans="1:77" ht="11.25" customHeight="1">
      <c r="A76" s="869" t="s">
        <v>663</v>
      </c>
      <c r="B76" s="869"/>
      <c r="C76" s="869"/>
      <c r="D76" s="445">
        <v>6</v>
      </c>
      <c r="E76" s="445">
        <v>2</v>
      </c>
      <c r="F76" s="445">
        <v>12</v>
      </c>
      <c r="G76" s="445">
        <v>5</v>
      </c>
      <c r="H76" s="445">
        <v>4</v>
      </c>
      <c r="I76" s="445">
        <v>43</v>
      </c>
      <c r="J76" s="445">
        <v>6</v>
      </c>
      <c r="K76" s="445">
        <v>35</v>
      </c>
      <c r="L76" s="445">
        <v>2</v>
      </c>
      <c r="M76" s="445">
        <v>1</v>
      </c>
      <c r="N76" s="445">
        <v>16</v>
      </c>
      <c r="O76" s="445">
        <v>19</v>
      </c>
      <c r="P76" s="445">
        <v>15</v>
      </c>
      <c r="Q76" s="445">
        <v>7</v>
      </c>
      <c r="R76" s="445">
        <v>7</v>
      </c>
      <c r="S76" s="445">
        <v>4</v>
      </c>
      <c r="T76" s="445">
        <v>3</v>
      </c>
      <c r="U76" s="869" t="s">
        <v>663</v>
      </c>
      <c r="V76" s="869"/>
      <c r="W76" s="869"/>
      <c r="X76" s="447">
        <v>1</v>
      </c>
      <c r="Y76" s="447">
        <v>2</v>
      </c>
      <c r="Z76" s="447">
        <v>4</v>
      </c>
      <c r="AA76" s="447">
        <v>0</v>
      </c>
      <c r="AB76" s="447">
        <v>16</v>
      </c>
      <c r="AC76" s="208">
        <v>6</v>
      </c>
      <c r="AD76" s="208">
        <v>9</v>
      </c>
      <c r="AE76" s="447">
        <v>10</v>
      </c>
      <c r="AF76" s="447">
        <v>6</v>
      </c>
      <c r="AG76" s="447">
        <v>4</v>
      </c>
      <c r="AH76" s="447">
        <v>2</v>
      </c>
      <c r="AI76" s="447">
        <v>2</v>
      </c>
      <c r="AJ76" s="447">
        <v>14</v>
      </c>
      <c r="AK76" s="447">
        <v>5</v>
      </c>
      <c r="AL76" s="447">
        <v>5</v>
      </c>
      <c r="AM76" s="447">
        <v>1</v>
      </c>
      <c r="AN76" s="447">
        <v>2</v>
      </c>
      <c r="AO76" s="869" t="s">
        <v>663</v>
      </c>
      <c r="AP76" s="869"/>
      <c r="AQ76" s="869"/>
      <c r="AR76" s="449">
        <v>2</v>
      </c>
      <c r="AS76" s="449">
        <v>1</v>
      </c>
      <c r="AT76" s="448">
        <v>48</v>
      </c>
      <c r="AU76" s="448">
        <v>2</v>
      </c>
      <c r="AV76" s="448">
        <v>4</v>
      </c>
      <c r="AW76" s="448">
        <v>1</v>
      </c>
      <c r="AX76" s="208">
        <v>18</v>
      </c>
      <c r="AY76" s="447">
        <v>20</v>
      </c>
      <c r="AZ76" s="447">
        <v>2</v>
      </c>
      <c r="BA76" s="447">
        <v>6</v>
      </c>
      <c r="BB76" s="447">
        <v>4</v>
      </c>
      <c r="BC76" s="447">
        <v>3</v>
      </c>
      <c r="BD76" s="447">
        <v>4</v>
      </c>
      <c r="BE76" s="447">
        <v>32</v>
      </c>
      <c r="BF76" s="447">
        <v>82</v>
      </c>
      <c r="BG76" s="447">
        <v>19</v>
      </c>
      <c r="BH76" s="447">
        <v>1</v>
      </c>
      <c r="BI76" s="869" t="s">
        <v>663</v>
      </c>
      <c r="BJ76" s="869"/>
      <c r="BK76" s="869"/>
      <c r="BL76" s="447">
        <v>2</v>
      </c>
      <c r="BM76" s="447">
        <v>3</v>
      </c>
      <c r="BN76" s="447">
        <v>4</v>
      </c>
      <c r="BO76" s="447">
        <v>2</v>
      </c>
      <c r="BP76" s="208">
        <v>2</v>
      </c>
      <c r="BQ76" s="208">
        <v>9</v>
      </c>
      <c r="BR76" s="447">
        <v>10</v>
      </c>
      <c r="BS76" s="447">
        <v>4</v>
      </c>
      <c r="BT76" s="447">
        <v>2</v>
      </c>
      <c r="BU76" s="447">
        <v>2</v>
      </c>
      <c r="BV76" s="209">
        <f t="shared" si="1"/>
        <v>565</v>
      </c>
      <c r="BY76" s="435"/>
    </row>
    <row r="77" spans="1:77" s="451" customFormat="1" ht="11.25" customHeight="1">
      <c r="A77" s="869" t="s">
        <v>1024</v>
      </c>
      <c r="B77" s="869"/>
      <c r="C77" s="869"/>
      <c r="D77" s="445">
        <v>4845</v>
      </c>
      <c r="E77" s="445">
        <v>557</v>
      </c>
      <c r="F77" s="450">
        <f>3310+78</f>
        <v>3388</v>
      </c>
      <c r="G77" s="450">
        <v>822</v>
      </c>
      <c r="H77" s="450">
        <f>707+145</f>
        <v>852</v>
      </c>
      <c r="I77" s="445">
        <v>12758</v>
      </c>
      <c r="J77" s="445">
        <v>704</v>
      </c>
      <c r="K77" s="445">
        <v>14320</v>
      </c>
      <c r="L77" s="445">
        <v>2990</v>
      </c>
      <c r="M77" s="445">
        <v>626</v>
      </c>
      <c r="N77" s="445">
        <v>5213</v>
      </c>
      <c r="O77" s="445">
        <v>6628</v>
      </c>
      <c r="P77" s="445">
        <v>7088</v>
      </c>
      <c r="Q77" s="445">
        <v>2126</v>
      </c>
      <c r="R77" s="445">
        <v>2897</v>
      </c>
      <c r="S77" s="445">
        <v>768</v>
      </c>
      <c r="T77" s="445">
        <v>431</v>
      </c>
      <c r="U77" s="924" t="s">
        <v>1024</v>
      </c>
      <c r="V77" s="925"/>
      <c r="W77" s="926"/>
      <c r="X77" s="447">
        <v>488</v>
      </c>
      <c r="Y77" s="447">
        <v>164</v>
      </c>
      <c r="Z77" s="447">
        <v>158</v>
      </c>
      <c r="AA77" s="447">
        <v>75</v>
      </c>
      <c r="AB77" s="447">
        <v>6560</v>
      </c>
      <c r="AC77" s="208">
        <v>3500</v>
      </c>
      <c r="AD77" s="208">
        <v>1926</v>
      </c>
      <c r="AE77" s="447">
        <v>2188</v>
      </c>
      <c r="AF77" s="447">
        <v>910</v>
      </c>
      <c r="AG77" s="447">
        <v>1383</v>
      </c>
      <c r="AH77" s="447">
        <v>446</v>
      </c>
      <c r="AI77" s="447">
        <v>855</v>
      </c>
      <c r="AJ77" s="447">
        <v>9311</v>
      </c>
      <c r="AK77" s="447">
        <v>1230</v>
      </c>
      <c r="AL77" s="447">
        <v>974</v>
      </c>
      <c r="AM77" s="447">
        <v>823</v>
      </c>
      <c r="AN77" s="447">
        <v>551</v>
      </c>
      <c r="AO77" s="869" t="s">
        <v>1024</v>
      </c>
      <c r="AP77" s="869"/>
      <c r="AQ77" s="869"/>
      <c r="AR77" s="449">
        <v>620</v>
      </c>
      <c r="AS77" s="449">
        <v>625</v>
      </c>
      <c r="AT77" s="448">
        <v>22294</v>
      </c>
      <c r="AU77" s="448">
        <v>1488</v>
      </c>
      <c r="AV77" s="448">
        <v>1389</v>
      </c>
      <c r="AW77" s="448">
        <v>386</v>
      </c>
      <c r="AX77" s="450">
        <v>7391</v>
      </c>
      <c r="AY77" s="450">
        <f>9740+237</f>
        <v>9977</v>
      </c>
      <c r="AZ77" s="447">
        <v>824</v>
      </c>
      <c r="BA77" s="447">
        <v>2662</v>
      </c>
      <c r="BB77" s="447">
        <v>903</v>
      </c>
      <c r="BC77" s="447">
        <v>888</v>
      </c>
      <c r="BD77" s="447">
        <v>1173</v>
      </c>
      <c r="BE77" s="450">
        <f>19332+67</f>
        <v>19399</v>
      </c>
      <c r="BF77" s="447">
        <v>28543</v>
      </c>
      <c r="BG77" s="447">
        <v>4921</v>
      </c>
      <c r="BH77" s="447">
        <v>664</v>
      </c>
      <c r="BI77" s="869" t="s">
        <v>1024</v>
      </c>
      <c r="BJ77" s="869"/>
      <c r="BK77" s="869"/>
      <c r="BL77" s="447">
        <v>1150</v>
      </c>
      <c r="BM77" s="447">
        <v>707</v>
      </c>
      <c r="BN77" s="447">
        <v>912</v>
      </c>
      <c r="BO77" s="447">
        <v>545</v>
      </c>
      <c r="BP77" s="447">
        <v>385</v>
      </c>
      <c r="BQ77" s="208">
        <v>5167</v>
      </c>
      <c r="BR77" s="447">
        <v>2028</v>
      </c>
      <c r="BS77" s="447">
        <v>1158</v>
      </c>
      <c r="BT77" s="447">
        <v>402</v>
      </c>
      <c r="BU77" s="447">
        <v>569</v>
      </c>
      <c r="BV77" s="209">
        <f t="shared" si="1"/>
        <v>215725</v>
      </c>
      <c r="BY77" s="435"/>
    </row>
    <row r="78" spans="1:77" s="451" customFormat="1" ht="11.25" customHeight="1">
      <c r="A78" s="923" t="s">
        <v>665</v>
      </c>
      <c r="B78" s="923"/>
      <c r="C78" s="923"/>
      <c r="D78" s="452">
        <f>(D19-D25)/D77</f>
        <v>181.49907120743035</v>
      </c>
      <c r="E78" s="452">
        <f t="shared" ref="E78:T78" si="2">(E19-E25)/E77</f>
        <v>157.8258527827648</v>
      </c>
      <c r="F78" s="452">
        <f t="shared" si="2"/>
        <v>146.6750295159386</v>
      </c>
      <c r="G78" s="452">
        <f t="shared" si="2"/>
        <v>188.46472019464721</v>
      </c>
      <c r="H78" s="452">
        <f t="shared" si="2"/>
        <v>298.95070422535213</v>
      </c>
      <c r="I78" s="452">
        <f t="shared" si="2"/>
        <v>178.73883053770183</v>
      </c>
      <c r="J78" s="452">
        <f t="shared" si="2"/>
        <v>23.714488636363637</v>
      </c>
      <c r="K78" s="452">
        <f t="shared" si="2"/>
        <v>167.77297486033518</v>
      </c>
      <c r="L78" s="452">
        <f t="shared" si="2"/>
        <v>174.3608695652174</v>
      </c>
      <c r="M78" s="452">
        <f t="shared" si="2"/>
        <v>419.59265175718849</v>
      </c>
      <c r="N78" s="452">
        <f t="shared" si="2"/>
        <v>130.81833876846346</v>
      </c>
      <c r="O78" s="452">
        <f t="shared" si="2"/>
        <v>122.87205793602897</v>
      </c>
      <c r="P78" s="452">
        <f t="shared" si="2"/>
        <v>138.49280474040631</v>
      </c>
      <c r="Q78" s="452">
        <f t="shared" si="2"/>
        <v>116.83443085606773</v>
      </c>
      <c r="R78" s="452">
        <f t="shared" si="2"/>
        <v>176.42699344149119</v>
      </c>
      <c r="S78" s="452">
        <f t="shared" si="2"/>
        <v>176.49739583333334</v>
      </c>
      <c r="T78" s="452">
        <f t="shared" si="2"/>
        <v>49.19721577726218</v>
      </c>
      <c r="U78" s="923" t="s">
        <v>665</v>
      </c>
      <c r="V78" s="923"/>
      <c r="W78" s="923"/>
      <c r="X78" s="452">
        <f t="shared" ref="X78:AL78" si="3">(X19-X25)/X77</f>
        <v>148.85860655737704</v>
      </c>
      <c r="Y78" s="452">
        <f t="shared" si="3"/>
        <v>363.79268292682929</v>
      </c>
      <c r="Z78" s="452">
        <f t="shared" si="3"/>
        <v>287.34177215189874</v>
      </c>
      <c r="AA78" s="452">
        <f t="shared" si="3"/>
        <v>429.29333333333335</v>
      </c>
      <c r="AB78" s="452">
        <f t="shared" si="3"/>
        <v>225.46341463414635</v>
      </c>
      <c r="AC78" s="452">
        <f t="shared" si="3"/>
        <v>181.97171428571428</v>
      </c>
      <c r="AD78" s="452">
        <f t="shared" si="3"/>
        <v>182.2061266874351</v>
      </c>
      <c r="AE78" s="452">
        <f t="shared" si="3"/>
        <v>201.90402193784277</v>
      </c>
      <c r="AF78" s="452">
        <f t="shared" si="3"/>
        <v>213.91318681318683</v>
      </c>
      <c r="AG78" s="452">
        <f t="shared" si="3"/>
        <v>171.72451193058569</v>
      </c>
      <c r="AH78" s="452">
        <f t="shared" si="3"/>
        <v>244.8968609865471</v>
      </c>
      <c r="AI78" s="452">
        <f t="shared" si="3"/>
        <v>137.62573099415204</v>
      </c>
      <c r="AJ78" s="452">
        <f t="shared" si="3"/>
        <v>188.7935774889915</v>
      </c>
      <c r="AK78" s="452">
        <f t="shared" si="3"/>
        <v>214.80975609756098</v>
      </c>
      <c r="AL78" s="452">
        <f t="shared" si="3"/>
        <v>144.67453798767968</v>
      </c>
      <c r="AM78" s="452">
        <f>(AM19-AM25)/AM77</f>
        <v>233.56865127582017</v>
      </c>
      <c r="AN78" s="452">
        <f>(AN19-AN25)/AN77</f>
        <v>259.39201451905626</v>
      </c>
      <c r="AO78" s="923" t="s">
        <v>665</v>
      </c>
      <c r="AP78" s="923"/>
      <c r="AQ78" s="923"/>
      <c r="AR78" s="452">
        <f>(AR19-AR25)/AR77</f>
        <v>208.31451612903226</v>
      </c>
      <c r="AS78" s="452">
        <f t="shared" ref="AS78:BH78" si="4">(AS19-AS25)/AS77</f>
        <v>247.96960000000001</v>
      </c>
      <c r="AT78" s="452">
        <f t="shared" si="4"/>
        <v>216.86893334529469</v>
      </c>
      <c r="AU78" s="452"/>
      <c r="AV78" s="452"/>
      <c r="AW78" s="452"/>
      <c r="AX78" s="211">
        <f t="shared" si="4"/>
        <v>197.89189554864024</v>
      </c>
      <c r="AY78" s="452">
        <f t="shared" si="4"/>
        <v>173.54585546757542</v>
      </c>
      <c r="AZ78" s="452">
        <f t="shared" si="4"/>
        <v>213.10679611650485</v>
      </c>
      <c r="BA78" s="452">
        <f t="shared" si="4"/>
        <v>153.01465063861758</v>
      </c>
      <c r="BB78" s="452">
        <f t="shared" si="4"/>
        <v>164.31561461794021</v>
      </c>
      <c r="BC78" s="452">
        <f t="shared" si="4"/>
        <v>161.86486486486487</v>
      </c>
      <c r="BD78" s="452">
        <f t="shared" si="4"/>
        <v>198.91474850809888</v>
      </c>
      <c r="BE78" s="452">
        <f t="shared" si="4"/>
        <v>173.55126552915098</v>
      </c>
      <c r="BF78" s="452">
        <f t="shared" si="4"/>
        <v>193.29755106330799</v>
      </c>
      <c r="BG78" s="452">
        <f t="shared" si="4"/>
        <v>200.78154846575899</v>
      </c>
      <c r="BH78" s="452">
        <f t="shared" si="4"/>
        <v>261.76204819277109</v>
      </c>
      <c r="BI78" s="923" t="s">
        <v>665</v>
      </c>
      <c r="BJ78" s="923"/>
      <c r="BK78" s="923"/>
      <c r="BL78" s="452">
        <f t="shared" ref="BL78:BU78" si="5">(BL19-BL25)/BL77</f>
        <v>121.54608695652173</v>
      </c>
      <c r="BM78" s="452">
        <f t="shared" si="5"/>
        <v>163.05091937765206</v>
      </c>
      <c r="BN78" s="452">
        <f t="shared" si="5"/>
        <v>185.26864035087721</v>
      </c>
      <c r="BO78" s="452">
        <f t="shared" si="5"/>
        <v>296.51009174311929</v>
      </c>
      <c r="BP78" s="452">
        <f t="shared" si="5"/>
        <v>272.33246753246755</v>
      </c>
      <c r="BQ78" s="452">
        <f t="shared" si="5"/>
        <v>152.02961099283917</v>
      </c>
      <c r="BR78" s="452">
        <f t="shared" si="5"/>
        <v>248.7810650887574</v>
      </c>
      <c r="BS78" s="452">
        <f t="shared" si="5"/>
        <v>223.67184801381691</v>
      </c>
      <c r="BT78" s="452">
        <f t="shared" si="5"/>
        <v>177.8233830845771</v>
      </c>
      <c r="BU78" s="452">
        <f t="shared" si="5"/>
        <v>110.87170474516697</v>
      </c>
      <c r="BV78" s="213">
        <f>+ROUND((BV19-BV25)/BV77,2)</f>
        <v>180.18</v>
      </c>
      <c r="BY78" s="435"/>
    </row>
    <row r="79" spans="1:77" s="451" customFormat="1" ht="11.25" customHeight="1">
      <c r="A79" s="862" t="s">
        <v>666</v>
      </c>
      <c r="B79" s="862"/>
      <c r="C79" s="862"/>
      <c r="D79" s="452">
        <f>(D19-D25-D16)/D77</f>
        <v>166.79050567595459</v>
      </c>
      <c r="E79" s="452">
        <f t="shared" ref="E79:T79" si="6">(E19-E25-E16)/E77</f>
        <v>156.76122082585277</v>
      </c>
      <c r="F79" s="452">
        <f t="shared" si="6"/>
        <v>130.10507674144037</v>
      </c>
      <c r="G79" s="452">
        <f t="shared" si="6"/>
        <v>165.77980535279806</v>
      </c>
      <c r="H79" s="452">
        <f t="shared" si="6"/>
        <v>254.52816901408451</v>
      </c>
      <c r="I79" s="452">
        <f t="shared" si="6"/>
        <v>155.74329832262109</v>
      </c>
      <c r="J79" s="452">
        <f t="shared" si="6"/>
        <v>23.714488636363637</v>
      </c>
      <c r="K79" s="452">
        <f t="shared" si="6"/>
        <v>144.43023743016761</v>
      </c>
      <c r="L79" s="452">
        <f t="shared" si="6"/>
        <v>155.00869565217391</v>
      </c>
      <c r="M79" s="452">
        <f t="shared" si="6"/>
        <v>274.59265175718849</v>
      </c>
      <c r="N79" s="452">
        <f t="shared" si="6"/>
        <v>117.0349127182045</v>
      </c>
      <c r="O79" s="452">
        <f t="shared" si="6"/>
        <v>113.82951116475559</v>
      </c>
      <c r="P79" s="452">
        <f t="shared" si="6"/>
        <v>119.5426072234763</v>
      </c>
      <c r="Q79" s="452">
        <f t="shared" si="6"/>
        <v>112.82361241768579</v>
      </c>
      <c r="R79" s="452">
        <f t="shared" si="6"/>
        <v>130.99344149119779</v>
      </c>
      <c r="S79" s="452">
        <f t="shared" si="6"/>
        <v>141.203125</v>
      </c>
      <c r="T79" s="452">
        <f t="shared" si="6"/>
        <v>49.19721577726218</v>
      </c>
      <c r="U79" s="862" t="s">
        <v>666</v>
      </c>
      <c r="V79" s="862"/>
      <c r="W79" s="862"/>
      <c r="X79" s="452">
        <f t="shared" ref="X79:AL79" si="7">(X19-X25-X16)/X77</f>
        <v>148.85860655737704</v>
      </c>
      <c r="Y79" s="452">
        <f t="shared" si="7"/>
        <v>363.79268292682929</v>
      </c>
      <c r="Z79" s="452">
        <f t="shared" si="7"/>
        <v>287.34177215189874</v>
      </c>
      <c r="AA79" s="452">
        <f t="shared" si="7"/>
        <v>429.29333333333335</v>
      </c>
      <c r="AB79" s="452">
        <f t="shared" si="7"/>
        <v>180.71189024390245</v>
      </c>
      <c r="AC79" s="452">
        <f t="shared" si="7"/>
        <v>162.8137142857143</v>
      </c>
      <c r="AD79" s="452">
        <f t="shared" si="7"/>
        <v>146.95846313603323</v>
      </c>
      <c r="AE79" s="452">
        <f t="shared" si="7"/>
        <v>170.26645338208411</v>
      </c>
      <c r="AF79" s="452">
        <f t="shared" si="7"/>
        <v>192.6989010989011</v>
      </c>
      <c r="AG79" s="452">
        <f t="shared" si="7"/>
        <v>151.41287057122199</v>
      </c>
      <c r="AH79" s="452">
        <f t="shared" si="7"/>
        <v>188.12556053811659</v>
      </c>
      <c r="AI79" s="452">
        <f t="shared" si="7"/>
        <v>125.9485380116959</v>
      </c>
      <c r="AJ79" s="452">
        <f t="shared" si="7"/>
        <v>164.17248415852217</v>
      </c>
      <c r="AK79" s="452">
        <f t="shared" si="7"/>
        <v>193.39837398373984</v>
      </c>
      <c r="AL79" s="452">
        <f t="shared" si="7"/>
        <v>117.97535934291581</v>
      </c>
      <c r="AM79" s="452">
        <f>(AM19-AM25-AM16)/AM77</f>
        <v>157.70352369380316</v>
      </c>
      <c r="AN79" s="452">
        <f>(AN19-AN25-AN16)/AN77</f>
        <v>174.21597096188748</v>
      </c>
      <c r="AO79" s="862" t="s">
        <v>666</v>
      </c>
      <c r="AP79" s="862"/>
      <c r="AQ79" s="862"/>
      <c r="AR79" s="452">
        <f>(AR19-AR25-AR16)/AR77</f>
        <v>151.48548387096776</v>
      </c>
      <c r="AS79" s="452">
        <f t="shared" ref="AS79:BH79" si="8">(AS19-AS25-AS16)/AS77</f>
        <v>202.0368</v>
      </c>
      <c r="AT79" s="452">
        <f t="shared" si="8"/>
        <v>191.22409616937293</v>
      </c>
      <c r="AU79" s="452"/>
      <c r="AV79" s="452"/>
      <c r="AW79" s="452"/>
      <c r="AX79" s="452">
        <f t="shared" si="8"/>
        <v>170.60073061831957</v>
      </c>
      <c r="AY79" s="452">
        <f t="shared" si="8"/>
        <v>145.85175904580535</v>
      </c>
      <c r="AZ79" s="452">
        <f t="shared" si="8"/>
        <v>198.12864077669903</v>
      </c>
      <c r="BA79" s="452">
        <f t="shared" si="8"/>
        <v>130.91284748309542</v>
      </c>
      <c r="BB79" s="452">
        <f t="shared" si="8"/>
        <v>133.76079734219269</v>
      </c>
      <c r="BC79" s="452">
        <f t="shared" si="8"/>
        <v>141.28040540540542</v>
      </c>
      <c r="BD79" s="452">
        <f t="shared" si="8"/>
        <v>173.69224211423699</v>
      </c>
      <c r="BE79" s="452">
        <f t="shared" si="8"/>
        <v>150.45950822207331</v>
      </c>
      <c r="BF79" s="452">
        <f t="shared" si="8"/>
        <v>175.73107241705497</v>
      </c>
      <c r="BG79" s="452">
        <f t="shared" si="8"/>
        <v>176.14753098963627</v>
      </c>
      <c r="BH79" s="452">
        <f t="shared" si="8"/>
        <v>160.18674698795181</v>
      </c>
      <c r="BI79" s="862" t="s">
        <v>666</v>
      </c>
      <c r="BJ79" s="862"/>
      <c r="BK79" s="862"/>
      <c r="BL79" s="452">
        <f t="shared" ref="BL79:BU79" si="9">(BL19-BL25-BL16)/BL77</f>
        <v>110.83826086956522</v>
      </c>
      <c r="BM79" s="452">
        <f t="shared" si="9"/>
        <v>145.18528995756719</v>
      </c>
      <c r="BN79" s="452">
        <f t="shared" si="9"/>
        <v>182.71491228070175</v>
      </c>
      <c r="BO79" s="452">
        <f t="shared" si="9"/>
        <v>222.82752293577983</v>
      </c>
      <c r="BP79" s="452">
        <f t="shared" si="9"/>
        <v>231.84935064935064</v>
      </c>
      <c r="BQ79" s="452">
        <f t="shared" si="9"/>
        <v>130.05128701374105</v>
      </c>
      <c r="BR79" s="452">
        <f t="shared" si="9"/>
        <v>188.17307692307693</v>
      </c>
      <c r="BS79" s="452">
        <f t="shared" si="9"/>
        <v>184.88860103626942</v>
      </c>
      <c r="BT79" s="452">
        <f t="shared" si="9"/>
        <v>149.26616915422886</v>
      </c>
      <c r="BU79" s="452">
        <f t="shared" si="9"/>
        <v>110.81370826010544</v>
      </c>
      <c r="BV79" s="213">
        <f>+ROUND((BV19-BV25-BV15)/BV77,2)</f>
        <v>176.07</v>
      </c>
      <c r="BY79" s="435"/>
    </row>
    <row r="80" spans="1:77" s="214" customFormat="1" ht="11.25" customHeight="1">
      <c r="A80" s="862" t="s">
        <v>667</v>
      </c>
      <c r="B80" s="862"/>
      <c r="C80" s="862"/>
      <c r="D80" s="211">
        <f>D8/D77</f>
        <v>174.80804953560371</v>
      </c>
      <c r="E80" s="211">
        <f t="shared" ref="E80:T80" si="10">E8/E77</f>
        <v>132.00179533213645</v>
      </c>
      <c r="F80" s="211">
        <f t="shared" si="10"/>
        <v>168.56345926800472</v>
      </c>
      <c r="G80" s="211">
        <f t="shared" si="10"/>
        <v>197.49391727493918</v>
      </c>
      <c r="H80" s="211">
        <f t="shared" si="10"/>
        <v>254.22183098591549</v>
      </c>
      <c r="I80" s="211">
        <f t="shared" si="10"/>
        <v>208.13622824894185</v>
      </c>
      <c r="J80" s="211">
        <f t="shared" si="10"/>
        <v>60.92755681818182</v>
      </c>
      <c r="K80" s="211">
        <f t="shared" si="10"/>
        <v>151.66180167597764</v>
      </c>
      <c r="L80" s="211">
        <f t="shared" si="10"/>
        <v>194.80334448160536</v>
      </c>
      <c r="M80" s="211">
        <f t="shared" si="10"/>
        <v>242.44568690095846</v>
      </c>
      <c r="N80" s="211">
        <f t="shared" si="10"/>
        <v>152.93727220410511</v>
      </c>
      <c r="O80" s="211">
        <f t="shared" si="10"/>
        <v>123.0490343995172</v>
      </c>
      <c r="P80" s="211">
        <f t="shared" si="10"/>
        <v>152.60016930022573</v>
      </c>
      <c r="Q80" s="211">
        <f t="shared" si="10"/>
        <v>102.17309501411101</v>
      </c>
      <c r="R80" s="211">
        <f t="shared" si="10"/>
        <v>157.56989989644461</v>
      </c>
      <c r="S80" s="211">
        <f t="shared" si="10"/>
        <v>166.09244791666666</v>
      </c>
      <c r="T80" s="211">
        <f t="shared" si="10"/>
        <v>108.15777262180974</v>
      </c>
      <c r="U80" s="862" t="s">
        <v>667</v>
      </c>
      <c r="V80" s="862"/>
      <c r="W80" s="862"/>
      <c r="X80" s="211">
        <f t="shared" ref="X80:AL80" si="11">X8/X77</f>
        <v>161.58196721311475</v>
      </c>
      <c r="Y80" s="211">
        <f t="shared" si="11"/>
        <v>381.15853658536588</v>
      </c>
      <c r="Z80" s="211">
        <f t="shared" si="11"/>
        <v>478.86075949367091</v>
      </c>
      <c r="AA80" s="211">
        <f t="shared" si="11"/>
        <v>562.44000000000005</v>
      </c>
      <c r="AB80" s="211">
        <f t="shared" si="11"/>
        <v>203.17500000000001</v>
      </c>
      <c r="AC80" s="211">
        <f t="shared" si="11"/>
        <v>193.35542857142858</v>
      </c>
      <c r="AD80" s="211">
        <f t="shared" si="11"/>
        <v>160.95119418483904</v>
      </c>
      <c r="AE80" s="211">
        <f t="shared" si="11"/>
        <v>174.52422303473492</v>
      </c>
      <c r="AF80" s="211">
        <f t="shared" si="11"/>
        <v>208.91868131868131</v>
      </c>
      <c r="AG80" s="211">
        <f t="shared" si="11"/>
        <v>165.20968908170644</v>
      </c>
      <c r="AH80" s="211">
        <f t="shared" si="11"/>
        <v>185.0695067264574</v>
      </c>
      <c r="AI80" s="211">
        <f t="shared" si="11"/>
        <v>161.15438596491228</v>
      </c>
      <c r="AJ80" s="211">
        <f t="shared" si="11"/>
        <v>158.37461067554506</v>
      </c>
      <c r="AK80" s="211">
        <f t="shared" si="11"/>
        <v>192.21626016260163</v>
      </c>
      <c r="AL80" s="211">
        <f t="shared" si="11"/>
        <v>187.58008213552361</v>
      </c>
      <c r="AM80" s="211">
        <f>AM8/AM77</f>
        <v>156.65613608748481</v>
      </c>
      <c r="AN80" s="211">
        <f>AN8/AN77</f>
        <v>186.08529945553539</v>
      </c>
      <c r="AO80" s="862" t="s">
        <v>667</v>
      </c>
      <c r="AP80" s="862"/>
      <c r="AQ80" s="862"/>
      <c r="AR80" s="211">
        <f>AR8/AR77</f>
        <v>161.89032258064515</v>
      </c>
      <c r="AS80" s="211">
        <f t="shared" ref="AS80:BH80" si="12">AS8/AS77</f>
        <v>215.5104</v>
      </c>
      <c r="AT80" s="211">
        <f t="shared" si="12"/>
        <v>185.93249304745672</v>
      </c>
      <c r="AU80" s="211"/>
      <c r="AV80" s="211"/>
      <c r="AW80" s="211"/>
      <c r="AX80" s="211">
        <f t="shared" si="12"/>
        <v>187.99458801244757</v>
      </c>
      <c r="AY80" s="211">
        <f t="shared" si="12"/>
        <v>160.84995489626141</v>
      </c>
      <c r="AZ80" s="211">
        <f t="shared" si="12"/>
        <v>212.09344660194174</v>
      </c>
      <c r="BA80" s="211">
        <f t="shared" si="12"/>
        <v>150.07851239669421</v>
      </c>
      <c r="BB80" s="211">
        <f t="shared" si="12"/>
        <v>218.42967884828349</v>
      </c>
      <c r="BC80" s="211">
        <f t="shared" si="12"/>
        <v>178.84684684684686</v>
      </c>
      <c r="BD80" s="211">
        <f t="shared" si="12"/>
        <v>204.00255754475702</v>
      </c>
      <c r="BE80" s="211">
        <f t="shared" si="12"/>
        <v>171.9470075777102</v>
      </c>
      <c r="BF80" s="211">
        <f t="shared" si="12"/>
        <v>210.30862207896857</v>
      </c>
      <c r="BG80" s="211">
        <f t="shared" si="12"/>
        <v>199.16703921967081</v>
      </c>
      <c r="BH80" s="211">
        <f t="shared" si="12"/>
        <v>173.66716867469879</v>
      </c>
      <c r="BI80" s="862" t="s">
        <v>667</v>
      </c>
      <c r="BJ80" s="862"/>
      <c r="BK80" s="862"/>
      <c r="BL80" s="211">
        <f t="shared" ref="BL80:BU80" si="13">BL8/BL77</f>
        <v>161.79478260869564</v>
      </c>
      <c r="BM80" s="211">
        <f t="shared" si="13"/>
        <v>139.97878359264499</v>
      </c>
      <c r="BN80" s="211">
        <f t="shared" si="13"/>
        <v>168.00657894736841</v>
      </c>
      <c r="BO80" s="211">
        <f t="shared" si="13"/>
        <v>231.72844036697248</v>
      </c>
      <c r="BP80" s="211">
        <f t="shared" si="13"/>
        <v>191.6051948051948</v>
      </c>
      <c r="BQ80" s="211">
        <f t="shared" si="13"/>
        <v>181.49467776272499</v>
      </c>
      <c r="BR80" s="211">
        <f t="shared" si="13"/>
        <v>217.6129191321499</v>
      </c>
      <c r="BS80" s="211">
        <f t="shared" si="13"/>
        <v>232.30397236614854</v>
      </c>
      <c r="BT80" s="211">
        <f t="shared" si="13"/>
        <v>199.57960199004975</v>
      </c>
      <c r="BU80" s="211">
        <f t="shared" si="13"/>
        <v>143.30755711775043</v>
      </c>
      <c r="BV80" s="213">
        <f>+ROUND(BV8/BV77,2)</f>
        <v>176.93</v>
      </c>
      <c r="BY80" s="435"/>
    </row>
    <row r="81" spans="1:61" s="214" customFormat="1" ht="11.25" customHeight="1">
      <c r="A81" s="453"/>
      <c r="B81" s="454"/>
      <c r="Q81" s="453"/>
      <c r="U81" s="453"/>
      <c r="AK81" s="453"/>
      <c r="AO81" s="453"/>
      <c r="BE81" s="453"/>
      <c r="BI81" s="453"/>
    </row>
    <row r="82" spans="1:61" ht="11.25" customHeight="1"/>
    <row r="83" spans="1:61" ht="11.25" customHeight="1"/>
  </sheetData>
  <mergeCells count="234">
    <mergeCell ref="A80:C80"/>
    <mergeCell ref="U80:W80"/>
    <mergeCell ref="AO80:AQ80"/>
    <mergeCell ref="BI80:BK80"/>
    <mergeCell ref="A78:C78"/>
    <mergeCell ref="U78:W78"/>
    <mergeCell ref="AO78:AQ78"/>
    <mergeCell ref="BI78:BK78"/>
    <mergeCell ref="A79:C79"/>
    <mergeCell ref="U79:W79"/>
    <mergeCell ref="AO79:AQ79"/>
    <mergeCell ref="BI79:BK79"/>
    <mergeCell ref="A76:C76"/>
    <mergeCell ref="U76:W76"/>
    <mergeCell ref="AO76:AQ76"/>
    <mergeCell ref="BI76:BK76"/>
    <mergeCell ref="A77:C77"/>
    <mergeCell ref="U77:W77"/>
    <mergeCell ref="AO77:AQ77"/>
    <mergeCell ref="BI77:BK77"/>
    <mergeCell ref="B74:C74"/>
    <mergeCell ref="V74:W74"/>
    <mergeCell ref="AP74:AQ74"/>
    <mergeCell ref="BJ74:BK74"/>
    <mergeCell ref="A75:C75"/>
    <mergeCell ref="U75:W75"/>
    <mergeCell ref="AO75:AQ75"/>
    <mergeCell ref="BI75:BK75"/>
    <mergeCell ref="B72:C72"/>
    <mergeCell ref="V72:W72"/>
    <mergeCell ref="AP72:AQ72"/>
    <mergeCell ref="BJ72:BK72"/>
    <mergeCell ref="B73:C73"/>
    <mergeCell ref="V73:W73"/>
    <mergeCell ref="AP73:AQ73"/>
    <mergeCell ref="BJ73:BK73"/>
    <mergeCell ref="B69:C69"/>
    <mergeCell ref="V69:W69"/>
    <mergeCell ref="AP69:AQ69"/>
    <mergeCell ref="BJ69:BK69"/>
    <mergeCell ref="B71:C71"/>
    <mergeCell ref="V71:W71"/>
    <mergeCell ref="AP71:AQ71"/>
    <mergeCell ref="BJ71:BK71"/>
    <mergeCell ref="V67:W67"/>
    <mergeCell ref="AP67:AQ67"/>
    <mergeCell ref="BJ67:BK67"/>
    <mergeCell ref="B68:C68"/>
    <mergeCell ref="V68:W68"/>
    <mergeCell ref="AP68:AQ68"/>
    <mergeCell ref="BJ68:BK68"/>
    <mergeCell ref="BJ64:BK64"/>
    <mergeCell ref="B65:C65"/>
    <mergeCell ref="V65:W65"/>
    <mergeCell ref="AP65:AQ65"/>
    <mergeCell ref="BJ65:BK65"/>
    <mergeCell ref="B66:C66"/>
    <mergeCell ref="V66:W66"/>
    <mergeCell ref="AP66:AQ66"/>
    <mergeCell ref="BJ66:BK66"/>
    <mergeCell ref="BI61:BI74"/>
    <mergeCell ref="BJ61:BK61"/>
    <mergeCell ref="B62:C62"/>
    <mergeCell ref="V62:W62"/>
    <mergeCell ref="AP62:AQ62"/>
    <mergeCell ref="BJ62:BK62"/>
    <mergeCell ref="B63:C63"/>
    <mergeCell ref="V63:W63"/>
    <mergeCell ref="AP63:AQ63"/>
    <mergeCell ref="BJ63:BK63"/>
    <mergeCell ref="A61:A74"/>
    <mergeCell ref="B61:C61"/>
    <mergeCell ref="U61:U74"/>
    <mergeCell ref="V61:W61"/>
    <mergeCell ref="AO61:AO74"/>
    <mergeCell ref="AP61:AQ61"/>
    <mergeCell ref="B64:C64"/>
    <mergeCell ref="V64:W64"/>
    <mergeCell ref="AP64:AQ64"/>
    <mergeCell ref="B67:C67"/>
    <mergeCell ref="BI40:BI60"/>
    <mergeCell ref="BJ40:BJ53"/>
    <mergeCell ref="B54:B59"/>
    <mergeCell ref="V54:V59"/>
    <mergeCell ref="AP54:AP59"/>
    <mergeCell ref="BJ54:BJ59"/>
    <mergeCell ref="B60:C60"/>
    <mergeCell ref="V60:W60"/>
    <mergeCell ref="AP60:AQ60"/>
    <mergeCell ref="BJ60:BK60"/>
    <mergeCell ref="B39:C39"/>
    <mergeCell ref="V39:W39"/>
    <mergeCell ref="AP39:AQ39"/>
    <mergeCell ref="BJ39:BK39"/>
    <mergeCell ref="A40:A60"/>
    <mergeCell ref="B40:B53"/>
    <mergeCell ref="U40:U60"/>
    <mergeCell ref="V40:V53"/>
    <mergeCell ref="AO40:AO60"/>
    <mergeCell ref="AP40:AP53"/>
    <mergeCell ref="B37:C37"/>
    <mergeCell ref="V37:W37"/>
    <mergeCell ref="AP37:AQ37"/>
    <mergeCell ref="BJ37:BK37"/>
    <mergeCell ref="B38:C38"/>
    <mergeCell ref="V38:W38"/>
    <mergeCell ref="AP38:AQ38"/>
    <mergeCell ref="BJ38:BK38"/>
    <mergeCell ref="B34:C34"/>
    <mergeCell ref="V34:W34"/>
    <mergeCell ref="AP34:AQ34"/>
    <mergeCell ref="BJ34:BK34"/>
    <mergeCell ref="B36:C36"/>
    <mergeCell ref="V36:W36"/>
    <mergeCell ref="AP36:AQ36"/>
    <mergeCell ref="BJ36:BK36"/>
    <mergeCell ref="B32:C32"/>
    <mergeCell ref="V32:W32"/>
    <mergeCell ref="AP32:AQ32"/>
    <mergeCell ref="BJ32:BK32"/>
    <mergeCell ref="B33:C33"/>
    <mergeCell ref="V33:W33"/>
    <mergeCell ref="AP33:AQ33"/>
    <mergeCell ref="BJ33:BK33"/>
    <mergeCell ref="B30:C30"/>
    <mergeCell ref="V30:W30"/>
    <mergeCell ref="AP30:AQ30"/>
    <mergeCell ref="BJ30:BK30"/>
    <mergeCell ref="B31:C31"/>
    <mergeCell ref="V31:W31"/>
    <mergeCell ref="AP31:AQ31"/>
    <mergeCell ref="BJ31:BK31"/>
    <mergeCell ref="B28:C28"/>
    <mergeCell ref="V28:W28"/>
    <mergeCell ref="AP28:AQ28"/>
    <mergeCell ref="BJ28:BK28"/>
    <mergeCell ref="B29:C29"/>
    <mergeCell ref="V29:W29"/>
    <mergeCell ref="AP29:AQ29"/>
    <mergeCell ref="BJ29:BK29"/>
    <mergeCell ref="B26:C26"/>
    <mergeCell ref="V26:W26"/>
    <mergeCell ref="AP26:AQ26"/>
    <mergeCell ref="BJ26:BK26"/>
    <mergeCell ref="B27:C27"/>
    <mergeCell ref="V27:W27"/>
    <mergeCell ref="AP27:AQ27"/>
    <mergeCell ref="BJ27:BK27"/>
    <mergeCell ref="B24:C24"/>
    <mergeCell ref="V24:W24"/>
    <mergeCell ref="AP24:AQ24"/>
    <mergeCell ref="BJ24:BK24"/>
    <mergeCell ref="B25:C25"/>
    <mergeCell ref="V25:W25"/>
    <mergeCell ref="AP25:AQ25"/>
    <mergeCell ref="BJ25:BK25"/>
    <mergeCell ref="B22:C22"/>
    <mergeCell ref="V22:W22"/>
    <mergeCell ref="AP22:AQ22"/>
    <mergeCell ref="BJ22:BK22"/>
    <mergeCell ref="B23:C23"/>
    <mergeCell ref="V23:W23"/>
    <mergeCell ref="AP23:AQ23"/>
    <mergeCell ref="BJ23:BK23"/>
    <mergeCell ref="B20:C20"/>
    <mergeCell ref="V20:W20"/>
    <mergeCell ref="AP20:AQ20"/>
    <mergeCell ref="BJ20:BK20"/>
    <mergeCell ref="B21:C21"/>
    <mergeCell ref="V21:W21"/>
    <mergeCell ref="AP21:AQ21"/>
    <mergeCell ref="BJ21:BK21"/>
    <mergeCell ref="V18:W18"/>
    <mergeCell ref="AP18:AQ18"/>
    <mergeCell ref="BJ18:BK18"/>
    <mergeCell ref="B19:C19"/>
    <mergeCell ref="V19:W19"/>
    <mergeCell ref="AP19:AQ19"/>
    <mergeCell ref="BJ19:BK19"/>
    <mergeCell ref="BJ9:BK9"/>
    <mergeCell ref="B10:C10"/>
    <mergeCell ref="V10:W10"/>
    <mergeCell ref="AP10:AQ10"/>
    <mergeCell ref="BJ10:BK10"/>
    <mergeCell ref="B11:C11"/>
    <mergeCell ref="V11:W11"/>
    <mergeCell ref="AP11:AQ11"/>
    <mergeCell ref="BJ11:BK11"/>
    <mergeCell ref="BI6:BI39"/>
    <mergeCell ref="BJ6:BK6"/>
    <mergeCell ref="B7:C7"/>
    <mergeCell ref="V7:W7"/>
    <mergeCell ref="AP7:AQ7"/>
    <mergeCell ref="BJ7:BK7"/>
    <mergeCell ref="B8:C8"/>
    <mergeCell ref="V8:W8"/>
    <mergeCell ref="AP8:AQ8"/>
    <mergeCell ref="BJ8:BK8"/>
    <mergeCell ref="A6:A39"/>
    <mergeCell ref="B6:C6"/>
    <mergeCell ref="U6:U39"/>
    <mergeCell ref="V6:W6"/>
    <mergeCell ref="AO6:AO39"/>
    <mergeCell ref="AP6:AQ6"/>
    <mergeCell ref="B9:C9"/>
    <mergeCell ref="V9:W9"/>
    <mergeCell ref="AP9:AQ9"/>
    <mergeCell ref="B18:C18"/>
    <mergeCell ref="A4:C4"/>
    <mergeCell ref="U4:W4"/>
    <mergeCell ref="AO4:AQ4"/>
    <mergeCell ref="BI4:BK4"/>
    <mergeCell ref="A5:C5"/>
    <mergeCell ref="U5:W5"/>
    <mergeCell ref="AO5:AQ5"/>
    <mergeCell ref="BI5:BK5"/>
    <mergeCell ref="BA3:BD3"/>
    <mergeCell ref="BE3:BH3"/>
    <mergeCell ref="BI3:BK3"/>
    <mergeCell ref="BL3:BP3"/>
    <mergeCell ref="BQ3:BU3"/>
    <mergeCell ref="BV3:BV5"/>
    <mergeCell ref="AB3:AC3"/>
    <mergeCell ref="AD3:AI3"/>
    <mergeCell ref="AJ3:AN3"/>
    <mergeCell ref="AO3:AQ3"/>
    <mergeCell ref="AT3:AW3"/>
    <mergeCell ref="AX3:AZ3"/>
    <mergeCell ref="A3:C3"/>
    <mergeCell ref="D3:I3"/>
    <mergeCell ref="K3:M3"/>
    <mergeCell ref="N3:T3"/>
    <mergeCell ref="U3:W3"/>
    <mergeCell ref="X3:AA3"/>
  </mergeCells>
  <phoneticPr fontId="6"/>
  <pageMargins left="0.74" right="0.17" top="0.19685039370078741" bottom="0.39370078740157483" header="0.51181102362204722" footer="0.4"/>
  <pageSetup paperSize="9" scale="91" pageOrder="overThenDown" orientation="portrait" r:id="rId1"/>
  <headerFooter alignWithMargins="0"/>
  <colBreaks count="7" manualBreakCount="7">
    <brk id="9" max="79" man="1"/>
    <brk id="20" max="1048575" man="1"/>
    <brk id="29" max="78" man="1"/>
    <brk id="40" max="1048575" man="1"/>
    <brk id="49" max="79" man="1"/>
    <brk id="60" max="1048575" man="1"/>
    <brk id="68" max="78" man="1"/>
  </col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003AA4-0381-4D99-944A-25F1B5AC80A2}">
  <dimension ref="A1:AB161"/>
  <sheetViews>
    <sheetView view="pageBreakPreview" zoomScale="80" zoomScaleNormal="90" zoomScaleSheetLayoutView="80" workbookViewId="0">
      <pane xSplit="5" ySplit="6" topLeftCell="S127" activePane="bottomRight" state="frozen"/>
      <selection pane="topRight" activeCell="F1" sqref="F1"/>
      <selection pane="bottomLeft" activeCell="A7" sqref="A7"/>
      <selection pane="bottomRight"/>
    </sheetView>
  </sheetViews>
  <sheetFormatPr defaultColWidth="9" defaultRowHeight="11"/>
  <cols>
    <col min="1" max="1" width="5.6328125" style="460" customWidth="1"/>
    <col min="2" max="2" width="4.08984375" style="461" customWidth="1"/>
    <col min="3" max="3" width="8.7265625" style="460" customWidth="1"/>
    <col min="4" max="4" width="23.90625" style="460" bestFit="1" customWidth="1"/>
    <col min="5" max="5" width="13" style="460" customWidth="1"/>
    <col min="6" max="6" width="4.453125" style="462" bestFit="1" customWidth="1"/>
    <col min="7" max="7" width="3.54296875" style="460" bestFit="1" customWidth="1"/>
    <col min="8" max="8" width="2.36328125" style="460" customWidth="1"/>
    <col min="9" max="9" width="2.90625" style="460" customWidth="1"/>
    <col min="10" max="10" width="7.54296875" style="460" bestFit="1" customWidth="1"/>
    <col min="11" max="11" width="6.6328125" style="460" bestFit="1" customWidth="1"/>
    <col min="12" max="12" width="7.453125" style="460" customWidth="1"/>
    <col min="13" max="13" width="5.6328125" style="463" customWidth="1"/>
    <col min="14" max="14" width="4.08984375" style="461" customWidth="1"/>
    <col min="15" max="17" width="8.6328125" style="460" customWidth="1"/>
    <col min="18" max="19" width="6.26953125" style="460" customWidth="1"/>
    <col min="20" max="20" width="6.26953125" style="461" customWidth="1"/>
    <col min="21" max="23" width="6.26953125" style="460" customWidth="1"/>
    <col min="24" max="25" width="6.26953125" style="614" customWidth="1"/>
    <col min="26" max="26" width="7.7265625" style="614" customWidth="1"/>
    <col min="27" max="27" width="6.26953125" style="464" customWidth="1"/>
    <col min="28" max="28" width="6.26953125" style="465" customWidth="1"/>
    <col min="29" max="16384" width="9" style="460"/>
  </cols>
  <sheetData>
    <row r="1" spans="1:28" s="455" customFormat="1" ht="16.5">
      <c r="A1" s="455" t="s">
        <v>1025</v>
      </c>
      <c r="B1" s="456"/>
      <c r="F1" s="457"/>
      <c r="M1" s="458"/>
      <c r="N1" s="456"/>
      <c r="T1" s="456"/>
      <c r="X1" s="459"/>
      <c r="Y1" s="459"/>
      <c r="Z1" s="459"/>
      <c r="AA1" s="457"/>
    </row>
    <row r="2" spans="1:28">
      <c r="U2" s="461"/>
      <c r="V2" s="461"/>
      <c r="W2" s="461"/>
      <c r="X2" s="461"/>
      <c r="Y2" s="461"/>
      <c r="Z2" s="461"/>
    </row>
    <row r="3" spans="1:28" s="466" customFormat="1" ht="20.149999999999999" customHeight="1">
      <c r="A3" s="953" t="s">
        <v>495</v>
      </c>
      <c r="B3" s="953" t="s">
        <v>496</v>
      </c>
      <c r="C3" s="953" t="s">
        <v>1026</v>
      </c>
      <c r="D3" s="953" t="s">
        <v>1027</v>
      </c>
      <c r="E3" s="953" t="s">
        <v>1028</v>
      </c>
      <c r="F3" s="958" t="s">
        <v>1029</v>
      </c>
      <c r="G3" s="959"/>
      <c r="H3" s="959"/>
      <c r="I3" s="960"/>
      <c r="J3" s="958" t="s">
        <v>1030</v>
      </c>
      <c r="K3" s="960"/>
      <c r="L3" s="953" t="s">
        <v>1031</v>
      </c>
      <c r="M3" s="970" t="s">
        <v>1032</v>
      </c>
      <c r="N3" s="953" t="s">
        <v>496</v>
      </c>
      <c r="O3" s="958" t="s">
        <v>1033</v>
      </c>
      <c r="P3" s="959"/>
      <c r="Q3" s="960"/>
      <c r="R3" s="958" t="s">
        <v>1034</v>
      </c>
      <c r="S3" s="959"/>
      <c r="T3" s="960"/>
      <c r="U3" s="958" t="s">
        <v>1035</v>
      </c>
      <c r="V3" s="959"/>
      <c r="W3" s="960"/>
      <c r="X3" s="964" t="s">
        <v>1036</v>
      </c>
      <c r="Y3" s="965"/>
      <c r="Z3" s="966"/>
      <c r="AA3" s="958" t="s">
        <v>1037</v>
      </c>
      <c r="AB3" s="960"/>
    </row>
    <row r="4" spans="1:28" s="466" customFormat="1" ht="11.25" customHeight="1">
      <c r="A4" s="957"/>
      <c r="B4" s="957"/>
      <c r="C4" s="957"/>
      <c r="D4" s="957"/>
      <c r="E4" s="957"/>
      <c r="F4" s="961"/>
      <c r="G4" s="962"/>
      <c r="H4" s="962"/>
      <c r="I4" s="963"/>
      <c r="J4" s="961"/>
      <c r="K4" s="963"/>
      <c r="L4" s="957"/>
      <c r="M4" s="971"/>
      <c r="N4" s="957"/>
      <c r="O4" s="961"/>
      <c r="P4" s="962"/>
      <c r="Q4" s="963"/>
      <c r="R4" s="961"/>
      <c r="S4" s="962"/>
      <c r="T4" s="963"/>
      <c r="U4" s="961"/>
      <c r="V4" s="962"/>
      <c r="W4" s="963"/>
      <c r="X4" s="967"/>
      <c r="Y4" s="968"/>
      <c r="Z4" s="969"/>
      <c r="AA4" s="961"/>
      <c r="AB4" s="963"/>
    </row>
    <row r="5" spans="1:28" s="466" customFormat="1" ht="13.5" customHeight="1">
      <c r="A5" s="957"/>
      <c r="B5" s="957"/>
      <c r="C5" s="957"/>
      <c r="D5" s="957"/>
      <c r="E5" s="957"/>
      <c r="F5" s="953" t="s">
        <v>1038</v>
      </c>
      <c r="G5" s="953" t="s">
        <v>1039</v>
      </c>
      <c r="H5" s="953" t="s">
        <v>1040</v>
      </c>
      <c r="I5" s="953" t="s">
        <v>1041</v>
      </c>
      <c r="J5" s="953" t="s">
        <v>1042</v>
      </c>
      <c r="K5" s="953" t="s">
        <v>1043</v>
      </c>
      <c r="L5" s="957"/>
      <c r="M5" s="971"/>
      <c r="N5" s="957"/>
      <c r="O5" s="953" t="s">
        <v>1044</v>
      </c>
      <c r="P5" s="953" t="s">
        <v>1045</v>
      </c>
      <c r="Q5" s="953" t="s">
        <v>1046</v>
      </c>
      <c r="R5" s="953" t="s">
        <v>1047</v>
      </c>
      <c r="S5" s="953" t="s">
        <v>1048</v>
      </c>
      <c r="T5" s="953" t="s">
        <v>1049</v>
      </c>
      <c r="U5" s="953" t="s">
        <v>1047</v>
      </c>
      <c r="V5" s="953" t="s">
        <v>1048</v>
      </c>
      <c r="W5" s="953" t="s">
        <v>1049</v>
      </c>
      <c r="X5" s="953" t="s">
        <v>1050</v>
      </c>
      <c r="Y5" s="953" t="s">
        <v>1051</v>
      </c>
      <c r="Z5" s="953" t="s">
        <v>1052</v>
      </c>
      <c r="AA5" s="953" t="s">
        <v>1053</v>
      </c>
      <c r="AB5" s="955" t="s">
        <v>2309</v>
      </c>
    </row>
    <row r="6" spans="1:28" s="466" customFormat="1" ht="25" customHeight="1">
      <c r="A6" s="954"/>
      <c r="B6" s="954"/>
      <c r="C6" s="954"/>
      <c r="D6" s="954"/>
      <c r="E6" s="954"/>
      <c r="F6" s="954"/>
      <c r="G6" s="954"/>
      <c r="H6" s="954"/>
      <c r="I6" s="954"/>
      <c r="J6" s="954"/>
      <c r="K6" s="954"/>
      <c r="L6" s="954"/>
      <c r="M6" s="972"/>
      <c r="N6" s="954"/>
      <c r="O6" s="954"/>
      <c r="P6" s="954"/>
      <c r="Q6" s="954"/>
      <c r="R6" s="954"/>
      <c r="S6" s="954"/>
      <c r="T6" s="954"/>
      <c r="U6" s="954"/>
      <c r="V6" s="954"/>
      <c r="W6" s="954"/>
      <c r="X6" s="954"/>
      <c r="Y6" s="954"/>
      <c r="Z6" s="954"/>
      <c r="AA6" s="954"/>
      <c r="AB6" s="956"/>
    </row>
    <row r="7" spans="1:28" s="461" customFormat="1" ht="11.25" customHeight="1">
      <c r="A7" s="947" t="s">
        <v>1054</v>
      </c>
      <c r="B7" s="467">
        <v>1</v>
      </c>
      <c r="C7" s="467" t="s">
        <v>509</v>
      </c>
      <c r="D7" s="467" t="s">
        <v>1055</v>
      </c>
      <c r="E7" s="467" t="s">
        <v>1056</v>
      </c>
      <c r="F7" s="468" t="s">
        <v>1101</v>
      </c>
      <c r="G7" s="469">
        <v>3</v>
      </c>
      <c r="H7" s="469">
        <v>3</v>
      </c>
      <c r="I7" s="469">
        <v>31</v>
      </c>
      <c r="J7" s="467">
        <v>750</v>
      </c>
      <c r="K7" s="467">
        <v>736</v>
      </c>
      <c r="L7" s="467">
        <v>736</v>
      </c>
      <c r="M7" s="2121">
        <f>K7/L7</f>
        <v>1</v>
      </c>
      <c r="N7" s="467">
        <v>1</v>
      </c>
      <c r="O7" s="467">
        <v>242644</v>
      </c>
      <c r="P7" s="467">
        <v>138680</v>
      </c>
      <c r="Q7" s="467">
        <v>138096</v>
      </c>
      <c r="R7" s="467">
        <v>907</v>
      </c>
      <c r="S7" s="470">
        <v>942</v>
      </c>
      <c r="T7" s="467">
        <f>O7/365</f>
        <v>664.77808219178087</v>
      </c>
      <c r="U7" s="467">
        <f>(R7/J7)*1000</f>
        <v>1209.3333333333335</v>
      </c>
      <c r="V7" s="471">
        <f>(S7/K7)*1000</f>
        <v>1279.8913043478262</v>
      </c>
      <c r="W7" s="467">
        <f>(T7/K7)*1000</f>
        <v>903.23108993448488</v>
      </c>
      <c r="X7" s="2122">
        <f>P7/O7</f>
        <v>0.57153690179851968</v>
      </c>
      <c r="Y7" s="2122">
        <f>Q7/O7</f>
        <v>0.56913008357923545</v>
      </c>
      <c r="Z7" s="2121">
        <f>T7/S7</f>
        <v>0.70570921676409859</v>
      </c>
      <c r="AA7" s="468" t="s">
        <v>2310</v>
      </c>
      <c r="AB7" s="467">
        <v>1430</v>
      </c>
    </row>
    <row r="8" spans="1:28" s="461" customFormat="1" ht="11.25" customHeight="1">
      <c r="A8" s="948"/>
      <c r="B8" s="467">
        <v>2</v>
      </c>
      <c r="C8" s="467" t="s">
        <v>1058</v>
      </c>
      <c r="D8" s="467" t="s">
        <v>1059</v>
      </c>
      <c r="E8" s="467" t="s">
        <v>1060</v>
      </c>
      <c r="F8" s="468" t="s">
        <v>1101</v>
      </c>
      <c r="G8" s="469">
        <v>3</v>
      </c>
      <c r="H8" s="469">
        <v>3</v>
      </c>
      <c r="I8" s="469">
        <v>15</v>
      </c>
      <c r="J8" s="467">
        <v>1498</v>
      </c>
      <c r="K8" s="467">
        <v>100</v>
      </c>
      <c r="L8" s="467">
        <v>100</v>
      </c>
      <c r="M8" s="2121">
        <f t="shared" ref="M8:M32" si="0">K8/L8</f>
        <v>1</v>
      </c>
      <c r="N8" s="467">
        <v>2</v>
      </c>
      <c r="O8" s="467">
        <v>26000</v>
      </c>
      <c r="P8" s="467">
        <v>26000</v>
      </c>
      <c r="Q8" s="467">
        <v>17000</v>
      </c>
      <c r="R8" s="467">
        <v>375</v>
      </c>
      <c r="S8" s="470">
        <v>343</v>
      </c>
      <c r="T8" s="467">
        <f t="shared" ref="T8:T31" si="1">O8/365</f>
        <v>71.232876712328761</v>
      </c>
      <c r="U8" s="467">
        <f>(R8/J8)*1000</f>
        <v>250.33377837116154</v>
      </c>
      <c r="V8" s="471">
        <f>(S8/K8)*1000</f>
        <v>3430</v>
      </c>
      <c r="W8" s="467">
        <f>(T8/K8)*1000</f>
        <v>712.32876712328766</v>
      </c>
      <c r="X8" s="2122">
        <f t="shared" ref="X8:X32" si="2">P8/O8</f>
        <v>1</v>
      </c>
      <c r="Y8" s="2122">
        <f t="shared" ref="Y8:Y32" si="3">Q8/O8</f>
        <v>0.65384615384615385</v>
      </c>
      <c r="Z8" s="2121">
        <f>T8/S8</f>
        <v>0.20767602540037539</v>
      </c>
      <c r="AA8" s="468" t="s">
        <v>2311</v>
      </c>
      <c r="AB8" s="467">
        <v>3180</v>
      </c>
    </row>
    <row r="9" spans="1:28" s="461" customFormat="1" ht="11.25" customHeight="1">
      <c r="A9" s="948"/>
      <c r="B9" s="467">
        <v>3</v>
      </c>
      <c r="C9" s="467" t="s">
        <v>1061</v>
      </c>
      <c r="D9" s="467" t="s">
        <v>1062</v>
      </c>
      <c r="E9" s="467" t="s">
        <v>1063</v>
      </c>
      <c r="F9" s="468" t="s">
        <v>1171</v>
      </c>
      <c r="G9" s="469">
        <v>10</v>
      </c>
      <c r="H9" s="469">
        <v>2</v>
      </c>
      <c r="I9" s="469">
        <v>27</v>
      </c>
      <c r="J9" s="467">
        <v>165</v>
      </c>
      <c r="K9" s="467">
        <v>90</v>
      </c>
      <c r="L9" s="467">
        <v>90</v>
      </c>
      <c r="M9" s="2121">
        <f t="shared" si="0"/>
        <v>1</v>
      </c>
      <c r="N9" s="467">
        <v>3</v>
      </c>
      <c r="O9" s="467">
        <v>16310</v>
      </c>
      <c r="P9" s="467">
        <v>16310</v>
      </c>
      <c r="Q9" s="467">
        <v>16310</v>
      </c>
      <c r="R9" s="467">
        <v>78</v>
      </c>
      <c r="S9" s="470">
        <v>78</v>
      </c>
      <c r="T9" s="467">
        <f t="shared" si="1"/>
        <v>44.684931506849317</v>
      </c>
      <c r="U9" s="467">
        <f t="shared" ref="U9:V31" si="4">(R9/J9)*1000</f>
        <v>472.72727272727269</v>
      </c>
      <c r="V9" s="467">
        <f t="shared" si="4"/>
        <v>866.66666666666674</v>
      </c>
      <c r="W9" s="467">
        <f t="shared" ref="W9:W32" si="5">(T9/K9)*1000</f>
        <v>496.4992389649924</v>
      </c>
      <c r="X9" s="2122">
        <f t="shared" si="2"/>
        <v>1</v>
      </c>
      <c r="Y9" s="2122">
        <f t="shared" si="3"/>
        <v>1</v>
      </c>
      <c r="Z9" s="2122">
        <f t="shared" ref="Z9:Z32" si="6">T9/S9</f>
        <v>0.57288373726729891</v>
      </c>
      <c r="AA9" s="468" t="s">
        <v>2312</v>
      </c>
      <c r="AB9" s="467">
        <v>1345</v>
      </c>
    </row>
    <row r="10" spans="1:28" s="461" customFormat="1" ht="11.25" customHeight="1">
      <c r="A10" s="948"/>
      <c r="B10" s="472">
        <v>4</v>
      </c>
      <c r="C10" s="473" t="s">
        <v>1061</v>
      </c>
      <c r="D10" s="473" t="s">
        <v>1064</v>
      </c>
      <c r="E10" s="473" t="s">
        <v>1060</v>
      </c>
      <c r="F10" s="474" t="s">
        <v>1180</v>
      </c>
      <c r="G10" s="475">
        <v>35</v>
      </c>
      <c r="H10" s="475">
        <v>2</v>
      </c>
      <c r="I10" s="475">
        <v>27</v>
      </c>
      <c r="J10" s="473">
        <v>320</v>
      </c>
      <c r="K10" s="473">
        <v>84</v>
      </c>
      <c r="L10" s="473">
        <v>84</v>
      </c>
      <c r="M10" s="2123">
        <f t="shared" si="0"/>
        <v>1</v>
      </c>
      <c r="N10" s="472">
        <v>4</v>
      </c>
      <c r="O10" s="473">
        <v>15080</v>
      </c>
      <c r="P10" s="473">
        <v>15080</v>
      </c>
      <c r="Q10" s="473">
        <v>13119</v>
      </c>
      <c r="R10" s="473">
        <v>48</v>
      </c>
      <c r="S10" s="476">
        <v>44</v>
      </c>
      <c r="T10" s="473">
        <f t="shared" si="1"/>
        <v>41.315068493150683</v>
      </c>
      <c r="U10" s="473">
        <f t="shared" si="4"/>
        <v>150</v>
      </c>
      <c r="V10" s="473">
        <f t="shared" si="4"/>
        <v>523.80952380952385</v>
      </c>
      <c r="W10" s="473">
        <f t="shared" si="5"/>
        <v>491.84605348988907</v>
      </c>
      <c r="X10" s="2124">
        <f t="shared" si="2"/>
        <v>1</v>
      </c>
      <c r="Y10" s="2124">
        <f t="shared" si="3"/>
        <v>0.86996021220159148</v>
      </c>
      <c r="Z10" s="2124">
        <f t="shared" si="6"/>
        <v>0.93897882938978827</v>
      </c>
      <c r="AA10" s="477" t="s">
        <v>1057</v>
      </c>
      <c r="AB10" s="472">
        <v>1500</v>
      </c>
    </row>
    <row r="11" spans="1:28" s="461" customFormat="1" ht="11.25" customHeight="1">
      <c r="A11" s="948"/>
      <c r="B11" s="478">
        <v>5</v>
      </c>
      <c r="C11" s="478" t="s">
        <v>1061</v>
      </c>
      <c r="D11" s="478" t="s">
        <v>1065</v>
      </c>
      <c r="E11" s="478" t="s">
        <v>1060</v>
      </c>
      <c r="F11" s="479" t="s">
        <v>1180</v>
      </c>
      <c r="G11" s="480">
        <v>33</v>
      </c>
      <c r="H11" s="480">
        <v>3</v>
      </c>
      <c r="I11" s="480">
        <v>28</v>
      </c>
      <c r="J11" s="478">
        <v>800</v>
      </c>
      <c r="K11" s="478">
        <v>196</v>
      </c>
      <c r="L11" s="478">
        <v>196</v>
      </c>
      <c r="M11" s="2125">
        <f t="shared" si="0"/>
        <v>1</v>
      </c>
      <c r="N11" s="478">
        <v>5</v>
      </c>
      <c r="O11" s="478">
        <v>39870</v>
      </c>
      <c r="P11" s="478">
        <v>39870</v>
      </c>
      <c r="Q11" s="478">
        <v>34686</v>
      </c>
      <c r="R11" s="478">
        <v>120</v>
      </c>
      <c r="S11" s="481">
        <v>111</v>
      </c>
      <c r="T11" s="478">
        <f t="shared" si="1"/>
        <v>109.23287671232876</v>
      </c>
      <c r="U11" s="478">
        <f t="shared" si="4"/>
        <v>150</v>
      </c>
      <c r="V11" s="478">
        <f t="shared" si="4"/>
        <v>566.32653061224494</v>
      </c>
      <c r="W11" s="478">
        <f t="shared" si="5"/>
        <v>557.31059547106508</v>
      </c>
      <c r="X11" s="2126">
        <f t="shared" si="2"/>
        <v>1</v>
      </c>
      <c r="Y11" s="2126">
        <f t="shared" si="3"/>
        <v>0.86997742663656885</v>
      </c>
      <c r="Z11" s="2126">
        <f t="shared" si="6"/>
        <v>0.98407997038134021</v>
      </c>
      <c r="AA11" s="479" t="s">
        <v>1057</v>
      </c>
      <c r="AB11" s="478">
        <v>1000</v>
      </c>
    </row>
    <row r="12" spans="1:28" s="461" customFormat="1" ht="11.25" customHeight="1">
      <c r="A12" s="948"/>
      <c r="B12" s="482">
        <v>6</v>
      </c>
      <c r="C12" s="482" t="s">
        <v>1066</v>
      </c>
      <c r="D12" s="482" t="s">
        <v>1067</v>
      </c>
      <c r="E12" s="482" t="s">
        <v>1063</v>
      </c>
      <c r="F12" s="483" t="s">
        <v>1171</v>
      </c>
      <c r="G12" s="484">
        <v>26</v>
      </c>
      <c r="H12" s="484">
        <v>6</v>
      </c>
      <c r="I12" s="484">
        <v>23</v>
      </c>
      <c r="J12" s="482">
        <v>920</v>
      </c>
      <c r="K12" s="482">
        <v>724</v>
      </c>
      <c r="L12" s="482">
        <v>724</v>
      </c>
      <c r="M12" s="2127">
        <f t="shared" si="0"/>
        <v>1</v>
      </c>
      <c r="N12" s="482">
        <v>6</v>
      </c>
      <c r="O12" s="482">
        <v>75114</v>
      </c>
      <c r="P12" s="482">
        <v>75113</v>
      </c>
      <c r="Q12" s="482">
        <v>75113</v>
      </c>
      <c r="R12" s="482">
        <v>450</v>
      </c>
      <c r="S12" s="485">
        <v>297</v>
      </c>
      <c r="T12" s="482">
        <f t="shared" si="1"/>
        <v>205.7917808219178</v>
      </c>
      <c r="U12" s="482">
        <f t="shared" si="4"/>
        <v>489.13043478260869</v>
      </c>
      <c r="V12" s="482">
        <f t="shared" si="4"/>
        <v>410.22099447513813</v>
      </c>
      <c r="W12" s="482">
        <f t="shared" si="5"/>
        <v>284.24279119049419</v>
      </c>
      <c r="X12" s="2128">
        <f t="shared" si="2"/>
        <v>0.99998668690257475</v>
      </c>
      <c r="Y12" s="2128">
        <f t="shared" si="3"/>
        <v>0.99998668690257475</v>
      </c>
      <c r="Z12" s="2128">
        <f t="shared" si="6"/>
        <v>0.69290161892901614</v>
      </c>
      <c r="AA12" s="483" t="s">
        <v>689</v>
      </c>
      <c r="AB12" s="482">
        <v>1370</v>
      </c>
    </row>
    <row r="13" spans="1:28" s="487" customFormat="1" ht="11.25" customHeight="1">
      <c r="A13" s="948"/>
      <c r="B13" s="478">
        <v>7</v>
      </c>
      <c r="C13" s="478" t="s">
        <v>1066</v>
      </c>
      <c r="D13" s="478" t="s">
        <v>1068</v>
      </c>
      <c r="E13" s="478" t="s">
        <v>1063</v>
      </c>
      <c r="F13" s="479" t="s">
        <v>1180</v>
      </c>
      <c r="G13" s="480">
        <v>60</v>
      </c>
      <c r="H13" s="480">
        <v>2</v>
      </c>
      <c r="I13" s="480">
        <v>28</v>
      </c>
      <c r="J13" s="478">
        <v>470</v>
      </c>
      <c r="K13" s="478">
        <v>18</v>
      </c>
      <c r="L13" s="478">
        <v>18</v>
      </c>
      <c r="M13" s="2125">
        <f t="shared" si="0"/>
        <v>1</v>
      </c>
      <c r="N13" s="478">
        <v>7</v>
      </c>
      <c r="O13" s="478">
        <v>6992</v>
      </c>
      <c r="P13" s="478">
        <v>5572</v>
      </c>
      <c r="Q13" s="478">
        <v>5572</v>
      </c>
      <c r="R13" s="478">
        <v>404</v>
      </c>
      <c r="S13" s="481">
        <v>377</v>
      </c>
      <c r="T13" s="478">
        <f t="shared" si="1"/>
        <v>19.156164383561645</v>
      </c>
      <c r="U13" s="478">
        <f t="shared" si="4"/>
        <v>859.57446808510645</v>
      </c>
      <c r="V13" s="486">
        <f t="shared" si="4"/>
        <v>20944.444444444442</v>
      </c>
      <c r="W13" s="486">
        <f t="shared" si="5"/>
        <v>1064.2313546423136</v>
      </c>
      <c r="X13" s="2126">
        <f t="shared" si="2"/>
        <v>0.79691075514874143</v>
      </c>
      <c r="Y13" s="2126">
        <f t="shared" si="3"/>
        <v>0.79691075514874143</v>
      </c>
      <c r="Z13" s="2126">
        <f t="shared" si="6"/>
        <v>5.0812107118200653E-2</v>
      </c>
      <c r="AA13" s="479" t="s">
        <v>689</v>
      </c>
      <c r="AB13" s="478">
        <v>1760</v>
      </c>
    </row>
    <row r="14" spans="1:28" s="461" customFormat="1" ht="11.25" customHeight="1">
      <c r="A14" s="948"/>
      <c r="B14" s="482">
        <v>8</v>
      </c>
      <c r="C14" s="482" t="s">
        <v>367</v>
      </c>
      <c r="D14" s="488" t="s">
        <v>1069</v>
      </c>
      <c r="E14" s="488" t="s">
        <v>1070</v>
      </c>
      <c r="F14" s="808" t="s">
        <v>1171</v>
      </c>
      <c r="G14" s="501">
        <v>25</v>
      </c>
      <c r="H14" s="501">
        <v>3</v>
      </c>
      <c r="I14" s="501">
        <v>22</v>
      </c>
      <c r="J14" s="488">
        <v>415</v>
      </c>
      <c r="K14" s="488">
        <v>6</v>
      </c>
      <c r="L14" s="488">
        <v>6</v>
      </c>
      <c r="M14" s="2129">
        <f t="shared" si="0"/>
        <v>1</v>
      </c>
      <c r="N14" s="482">
        <v>8</v>
      </c>
      <c r="O14" s="488">
        <v>32150</v>
      </c>
      <c r="P14" s="488">
        <v>32150</v>
      </c>
      <c r="Q14" s="488">
        <v>7320</v>
      </c>
      <c r="R14" s="488">
        <v>476</v>
      </c>
      <c r="S14" s="489">
        <v>476</v>
      </c>
      <c r="T14" s="488">
        <f t="shared" si="1"/>
        <v>88.082191780821915</v>
      </c>
      <c r="U14" s="488">
        <f t="shared" si="4"/>
        <v>1146.9879518072289</v>
      </c>
      <c r="V14" s="488">
        <f t="shared" si="4"/>
        <v>79333.333333333328</v>
      </c>
      <c r="W14" s="488">
        <f t="shared" si="5"/>
        <v>14680.365296803651</v>
      </c>
      <c r="X14" s="2130">
        <f t="shared" si="2"/>
        <v>1</v>
      </c>
      <c r="Y14" s="2130">
        <f t="shared" si="3"/>
        <v>0.2276827371695179</v>
      </c>
      <c r="Z14" s="2130">
        <f t="shared" si="6"/>
        <v>0.18504662138828135</v>
      </c>
      <c r="AA14" s="483" t="s">
        <v>1057</v>
      </c>
      <c r="AB14" s="482">
        <v>2200</v>
      </c>
    </row>
    <row r="15" spans="1:28" s="461" customFormat="1" ht="11.25" customHeight="1">
      <c r="A15" s="948"/>
      <c r="B15" s="478">
        <v>9</v>
      </c>
      <c r="C15" s="473" t="s">
        <v>367</v>
      </c>
      <c r="D15" s="473" t="s">
        <v>1071</v>
      </c>
      <c r="E15" s="473" t="s">
        <v>1072</v>
      </c>
      <c r="F15" s="474" t="s">
        <v>1171</v>
      </c>
      <c r="G15" s="475">
        <v>26</v>
      </c>
      <c r="H15" s="475">
        <v>3</v>
      </c>
      <c r="I15" s="475">
        <v>28</v>
      </c>
      <c r="J15" s="473">
        <v>4750</v>
      </c>
      <c r="K15" s="473">
        <v>3819</v>
      </c>
      <c r="L15" s="473">
        <v>3819</v>
      </c>
      <c r="M15" s="2123">
        <f t="shared" si="0"/>
        <v>1</v>
      </c>
      <c r="N15" s="478">
        <v>9</v>
      </c>
      <c r="O15" s="473">
        <v>440996</v>
      </c>
      <c r="P15" s="473">
        <v>416431</v>
      </c>
      <c r="Q15" s="473">
        <v>416431</v>
      </c>
      <c r="R15" s="473">
        <v>2150</v>
      </c>
      <c r="S15" s="476">
        <v>1812</v>
      </c>
      <c r="T15" s="473">
        <f t="shared" si="1"/>
        <v>1208.2082191780821</v>
      </c>
      <c r="U15" s="473">
        <f t="shared" si="4"/>
        <v>452.63157894736844</v>
      </c>
      <c r="V15" s="473">
        <f t="shared" si="4"/>
        <v>474.46975648075414</v>
      </c>
      <c r="W15" s="473">
        <f t="shared" si="5"/>
        <v>316.36769289816237</v>
      </c>
      <c r="X15" s="2124">
        <f t="shared" si="2"/>
        <v>0.9442965469074549</v>
      </c>
      <c r="Y15" s="2124">
        <f t="shared" si="3"/>
        <v>0.9442965469074549</v>
      </c>
      <c r="Z15" s="2124">
        <f t="shared" si="6"/>
        <v>0.66678157791284887</v>
      </c>
      <c r="AA15" s="477" t="s">
        <v>689</v>
      </c>
      <c r="AB15" s="472">
        <v>1430</v>
      </c>
    </row>
    <row r="16" spans="1:28" s="461" customFormat="1" ht="11.25" customHeight="1">
      <c r="A16" s="948"/>
      <c r="B16" s="482">
        <v>10</v>
      </c>
      <c r="C16" s="467" t="s">
        <v>368</v>
      </c>
      <c r="D16" s="467" t="s">
        <v>1073</v>
      </c>
      <c r="E16" s="467" t="s">
        <v>1074</v>
      </c>
      <c r="F16" s="468" t="s">
        <v>1171</v>
      </c>
      <c r="G16" s="469">
        <v>29</v>
      </c>
      <c r="H16" s="469">
        <v>2</v>
      </c>
      <c r="I16" s="469">
        <v>21</v>
      </c>
      <c r="J16" s="467">
        <v>2950</v>
      </c>
      <c r="K16" s="467">
        <v>3076</v>
      </c>
      <c r="L16" s="467">
        <v>3076</v>
      </c>
      <c r="M16" s="2121">
        <f t="shared" si="0"/>
        <v>1</v>
      </c>
      <c r="N16" s="482">
        <v>10</v>
      </c>
      <c r="O16" s="467">
        <v>536545</v>
      </c>
      <c r="P16" s="467">
        <v>494583</v>
      </c>
      <c r="Q16" s="467">
        <v>493281</v>
      </c>
      <c r="R16" s="467">
        <v>2280</v>
      </c>
      <c r="S16" s="470">
        <v>2574</v>
      </c>
      <c r="T16" s="467">
        <f t="shared" si="1"/>
        <v>1469.986301369863</v>
      </c>
      <c r="U16" s="467">
        <f t="shared" si="4"/>
        <v>772.88135593220341</v>
      </c>
      <c r="V16" s="490">
        <f t="shared" si="4"/>
        <v>836.80104031209373</v>
      </c>
      <c r="W16" s="490">
        <f t="shared" si="5"/>
        <v>477.88891461959133</v>
      </c>
      <c r="X16" s="2122">
        <f t="shared" si="2"/>
        <v>0.92179220755015889</v>
      </c>
      <c r="Y16" s="2122">
        <f t="shared" si="3"/>
        <v>0.91936557045541378</v>
      </c>
      <c r="Z16" s="2122">
        <f t="shared" si="6"/>
        <v>0.57109024917244089</v>
      </c>
      <c r="AA16" s="468" t="s">
        <v>689</v>
      </c>
      <c r="AB16" s="467">
        <v>1350</v>
      </c>
    </row>
    <row r="17" spans="1:28" s="461" customFormat="1" ht="11.25" customHeight="1">
      <c r="A17" s="948"/>
      <c r="B17" s="491">
        <v>11</v>
      </c>
      <c r="C17" s="491" t="s">
        <v>369</v>
      </c>
      <c r="D17" s="491" t="s">
        <v>369</v>
      </c>
      <c r="E17" s="491" t="s">
        <v>1074</v>
      </c>
      <c r="F17" s="492" t="s">
        <v>1171</v>
      </c>
      <c r="G17" s="493">
        <v>4</v>
      </c>
      <c r="H17" s="493">
        <v>5</v>
      </c>
      <c r="I17" s="493">
        <v>12</v>
      </c>
      <c r="J17" s="491">
        <v>1400</v>
      </c>
      <c r="K17" s="491">
        <v>892</v>
      </c>
      <c r="L17" s="491">
        <v>904</v>
      </c>
      <c r="M17" s="2131">
        <f t="shared" si="0"/>
        <v>0.98672566371681414</v>
      </c>
      <c r="N17" s="491">
        <v>11</v>
      </c>
      <c r="O17" s="491">
        <v>151533</v>
      </c>
      <c r="P17" s="491">
        <v>136878</v>
      </c>
      <c r="Q17" s="491">
        <v>122830</v>
      </c>
      <c r="R17" s="491">
        <v>700</v>
      </c>
      <c r="S17" s="494">
        <v>680</v>
      </c>
      <c r="T17" s="491">
        <f t="shared" si="1"/>
        <v>415.15890410958906</v>
      </c>
      <c r="U17" s="491">
        <f t="shared" si="4"/>
        <v>500</v>
      </c>
      <c r="V17" s="491">
        <f t="shared" si="4"/>
        <v>762.33183856502239</v>
      </c>
      <c r="W17" s="491">
        <f t="shared" si="5"/>
        <v>465.42478039191599</v>
      </c>
      <c r="X17" s="2132">
        <f t="shared" si="2"/>
        <v>0.9032883926273485</v>
      </c>
      <c r="Y17" s="2132">
        <f t="shared" si="3"/>
        <v>0.81058251337992382</v>
      </c>
      <c r="Z17" s="2132">
        <f t="shared" si="6"/>
        <v>0.61052780016116037</v>
      </c>
      <c r="AA17" s="492" t="s">
        <v>710</v>
      </c>
      <c r="AB17" s="491">
        <v>831</v>
      </c>
    </row>
    <row r="18" spans="1:28" s="461" customFormat="1" ht="11.25" customHeight="1">
      <c r="A18" s="948"/>
      <c r="B18" s="491">
        <v>12</v>
      </c>
      <c r="C18" s="495" t="s">
        <v>370</v>
      </c>
      <c r="D18" s="495" t="s">
        <v>370</v>
      </c>
      <c r="E18" s="495" t="s">
        <v>1074</v>
      </c>
      <c r="F18" s="809" t="s">
        <v>1171</v>
      </c>
      <c r="G18" s="496">
        <v>22</v>
      </c>
      <c r="H18" s="496">
        <v>3</v>
      </c>
      <c r="I18" s="496">
        <v>30</v>
      </c>
      <c r="J18" s="495">
        <v>860</v>
      </c>
      <c r="K18" s="495">
        <v>682</v>
      </c>
      <c r="L18" s="495">
        <v>682</v>
      </c>
      <c r="M18" s="2133">
        <f t="shared" si="0"/>
        <v>1</v>
      </c>
      <c r="N18" s="491">
        <v>12</v>
      </c>
      <c r="O18" s="495">
        <v>86849</v>
      </c>
      <c r="P18" s="495">
        <v>86849</v>
      </c>
      <c r="Q18" s="495">
        <v>86849</v>
      </c>
      <c r="R18" s="495">
        <v>490</v>
      </c>
      <c r="S18" s="497">
        <v>490</v>
      </c>
      <c r="T18" s="495">
        <f t="shared" si="1"/>
        <v>237.94246575342467</v>
      </c>
      <c r="U18" s="495">
        <f t="shared" si="4"/>
        <v>569.76744186046517</v>
      </c>
      <c r="V18" s="495">
        <f t="shared" si="4"/>
        <v>718.47507331378301</v>
      </c>
      <c r="W18" s="495">
        <f t="shared" si="5"/>
        <v>348.88924597276343</v>
      </c>
      <c r="X18" s="2134">
        <f t="shared" si="2"/>
        <v>1</v>
      </c>
      <c r="Y18" s="2134">
        <f t="shared" si="3"/>
        <v>1</v>
      </c>
      <c r="Z18" s="2134">
        <f t="shared" si="6"/>
        <v>0.48559686888454012</v>
      </c>
      <c r="AA18" s="492" t="s">
        <v>2313</v>
      </c>
      <c r="AB18" s="491">
        <v>946</v>
      </c>
    </row>
    <row r="19" spans="1:28" s="461" customFormat="1" ht="11.25" customHeight="1">
      <c r="A19" s="948"/>
      <c r="B19" s="472">
        <v>13</v>
      </c>
      <c r="C19" s="472" t="s">
        <v>371</v>
      </c>
      <c r="D19" s="472" t="s">
        <v>1075</v>
      </c>
      <c r="E19" s="472" t="s">
        <v>1070</v>
      </c>
      <c r="F19" s="477" t="s">
        <v>1101</v>
      </c>
      <c r="G19" s="498">
        <v>3</v>
      </c>
      <c r="H19" s="498">
        <v>3</v>
      </c>
      <c r="I19" s="498">
        <v>30</v>
      </c>
      <c r="J19" s="472">
        <v>633</v>
      </c>
      <c r="K19" s="472">
        <v>30</v>
      </c>
      <c r="L19" s="472">
        <v>30</v>
      </c>
      <c r="M19" s="2135">
        <f t="shared" si="0"/>
        <v>1</v>
      </c>
      <c r="N19" s="472">
        <v>13</v>
      </c>
      <c r="O19" s="472">
        <v>35840</v>
      </c>
      <c r="P19" s="472">
        <v>35840</v>
      </c>
      <c r="Q19" s="472">
        <v>35840</v>
      </c>
      <c r="R19" s="472">
        <v>277</v>
      </c>
      <c r="S19" s="499">
        <v>196</v>
      </c>
      <c r="T19" s="472">
        <f t="shared" si="1"/>
        <v>98.191780821917803</v>
      </c>
      <c r="U19" s="472">
        <f t="shared" si="4"/>
        <v>437.59873617693523</v>
      </c>
      <c r="V19" s="472">
        <f t="shared" si="4"/>
        <v>6533.333333333333</v>
      </c>
      <c r="W19" s="472">
        <f t="shared" si="5"/>
        <v>3273.0593607305932</v>
      </c>
      <c r="X19" s="2136">
        <f t="shared" si="2"/>
        <v>1</v>
      </c>
      <c r="Y19" s="2136">
        <f t="shared" si="3"/>
        <v>1</v>
      </c>
      <c r="Z19" s="2136">
        <f t="shared" si="6"/>
        <v>0.50097847358121328</v>
      </c>
      <c r="AA19" s="477" t="s">
        <v>1057</v>
      </c>
      <c r="AB19" s="472">
        <v>3942</v>
      </c>
    </row>
    <row r="20" spans="1:28" s="461" customFormat="1" ht="11.25" customHeight="1">
      <c r="A20" s="948"/>
      <c r="B20" s="472">
        <v>14</v>
      </c>
      <c r="C20" s="482" t="s">
        <v>371</v>
      </c>
      <c r="D20" s="482" t="s">
        <v>1076</v>
      </c>
      <c r="E20" s="472" t="s">
        <v>1070</v>
      </c>
      <c r="F20" s="483" t="s">
        <v>1171</v>
      </c>
      <c r="G20" s="484">
        <v>25</v>
      </c>
      <c r="H20" s="484">
        <v>3</v>
      </c>
      <c r="I20" s="484">
        <v>13</v>
      </c>
      <c r="J20" s="482">
        <v>253</v>
      </c>
      <c r="K20" s="482">
        <v>5</v>
      </c>
      <c r="L20" s="482">
        <v>5</v>
      </c>
      <c r="M20" s="2127">
        <f t="shared" si="0"/>
        <v>1</v>
      </c>
      <c r="N20" s="472">
        <v>14</v>
      </c>
      <c r="O20" s="482">
        <v>16528</v>
      </c>
      <c r="P20" s="482">
        <v>12528</v>
      </c>
      <c r="Q20" s="482">
        <v>8528</v>
      </c>
      <c r="R20" s="482">
        <v>63</v>
      </c>
      <c r="S20" s="485">
        <v>53</v>
      </c>
      <c r="T20" s="482">
        <f t="shared" si="1"/>
        <v>45.282191780821918</v>
      </c>
      <c r="U20" s="482">
        <f t="shared" si="4"/>
        <v>249.01185770750988</v>
      </c>
      <c r="V20" s="500">
        <f t="shared" si="4"/>
        <v>10600</v>
      </c>
      <c r="W20" s="500">
        <f t="shared" si="5"/>
        <v>9056.4383561643826</v>
      </c>
      <c r="X20" s="2128">
        <f t="shared" si="2"/>
        <v>0.75798644724104547</v>
      </c>
      <c r="Y20" s="2128">
        <f t="shared" si="3"/>
        <v>0.51597289448209105</v>
      </c>
      <c r="Z20" s="2128">
        <f t="shared" si="6"/>
        <v>0.85438097699663995</v>
      </c>
      <c r="AA20" s="483" t="s">
        <v>689</v>
      </c>
      <c r="AB20" s="482">
        <v>4400</v>
      </c>
    </row>
    <row r="21" spans="1:28" s="461" customFormat="1" ht="11.25" customHeight="1">
      <c r="A21" s="948"/>
      <c r="B21" s="472">
        <v>15</v>
      </c>
      <c r="C21" s="472" t="s">
        <v>371</v>
      </c>
      <c r="D21" s="472" t="s">
        <v>1077</v>
      </c>
      <c r="E21" s="472" t="s">
        <v>1070</v>
      </c>
      <c r="F21" s="477" t="s">
        <v>1101</v>
      </c>
      <c r="G21" s="498">
        <v>3</v>
      </c>
      <c r="H21" s="498">
        <v>3</v>
      </c>
      <c r="I21" s="498">
        <v>23</v>
      </c>
      <c r="J21" s="472">
        <v>160</v>
      </c>
      <c r="K21" s="472">
        <v>2</v>
      </c>
      <c r="L21" s="472">
        <v>2</v>
      </c>
      <c r="M21" s="2135">
        <f t="shared" si="0"/>
        <v>1</v>
      </c>
      <c r="N21" s="472">
        <v>15</v>
      </c>
      <c r="O21" s="472">
        <v>2097</v>
      </c>
      <c r="P21" s="472">
        <v>2097</v>
      </c>
      <c r="Q21" s="472">
        <v>1561</v>
      </c>
      <c r="R21" s="472">
        <v>40</v>
      </c>
      <c r="S21" s="499">
        <v>38</v>
      </c>
      <c r="T21" s="472">
        <f t="shared" si="1"/>
        <v>5.7452054794520544</v>
      </c>
      <c r="U21" s="472">
        <f t="shared" si="4"/>
        <v>250</v>
      </c>
      <c r="V21" s="472">
        <f t="shared" si="4"/>
        <v>19000</v>
      </c>
      <c r="W21" s="472">
        <f t="shared" si="5"/>
        <v>2872.6027397260273</v>
      </c>
      <c r="X21" s="2136">
        <f t="shared" si="2"/>
        <v>1</v>
      </c>
      <c r="Y21" s="2136">
        <f t="shared" si="3"/>
        <v>0.74439675727229371</v>
      </c>
      <c r="Z21" s="2136">
        <f t="shared" si="6"/>
        <v>0.15118961788031723</v>
      </c>
      <c r="AA21" s="477" t="s">
        <v>710</v>
      </c>
      <c r="AB21" s="472">
        <v>1112</v>
      </c>
    </row>
    <row r="22" spans="1:28" s="461" customFormat="1" ht="11.25" customHeight="1">
      <c r="A22" s="948"/>
      <c r="B22" s="472">
        <v>16</v>
      </c>
      <c r="C22" s="472" t="s">
        <v>371</v>
      </c>
      <c r="D22" s="472" t="s">
        <v>1078</v>
      </c>
      <c r="E22" s="472" t="s">
        <v>1070</v>
      </c>
      <c r="F22" s="477" t="s">
        <v>1171</v>
      </c>
      <c r="G22" s="498">
        <v>26</v>
      </c>
      <c r="H22" s="498">
        <v>3</v>
      </c>
      <c r="I22" s="498">
        <v>17</v>
      </c>
      <c r="J22" s="472">
        <v>826</v>
      </c>
      <c r="K22" s="472">
        <v>0</v>
      </c>
      <c r="L22" s="472">
        <v>3</v>
      </c>
      <c r="M22" s="2135">
        <f t="shared" si="0"/>
        <v>0</v>
      </c>
      <c r="N22" s="472">
        <v>16</v>
      </c>
      <c r="O22" s="472">
        <v>17893</v>
      </c>
      <c r="P22" s="472">
        <v>17893</v>
      </c>
      <c r="Q22" s="472">
        <v>16212</v>
      </c>
      <c r="R22" s="472">
        <v>220</v>
      </c>
      <c r="S22" s="499">
        <v>166</v>
      </c>
      <c r="T22" s="472">
        <f t="shared" si="1"/>
        <v>49.021917808219179</v>
      </c>
      <c r="U22" s="472">
        <f t="shared" si="4"/>
        <v>266.34382566585958</v>
      </c>
      <c r="V22" s="477" t="s">
        <v>1079</v>
      </c>
      <c r="W22" s="477" t="s">
        <v>1079</v>
      </c>
      <c r="X22" s="2136">
        <f t="shared" si="2"/>
        <v>1</v>
      </c>
      <c r="Y22" s="2136">
        <f t="shared" si="3"/>
        <v>0.90605264628625715</v>
      </c>
      <c r="Z22" s="2136">
        <f t="shared" si="6"/>
        <v>0.29531275788083844</v>
      </c>
      <c r="AA22" s="477" t="s">
        <v>1080</v>
      </c>
      <c r="AB22" s="472">
        <v>3780</v>
      </c>
    </row>
    <row r="23" spans="1:28" s="461" customFormat="1" ht="11.25" customHeight="1">
      <c r="A23" s="948"/>
      <c r="B23" s="472">
        <v>17</v>
      </c>
      <c r="C23" s="472" t="s">
        <v>371</v>
      </c>
      <c r="D23" s="472" t="s">
        <v>1081</v>
      </c>
      <c r="E23" s="472" t="s">
        <v>1070</v>
      </c>
      <c r="F23" s="477" t="s">
        <v>1101</v>
      </c>
      <c r="G23" s="498">
        <v>3</v>
      </c>
      <c r="H23" s="498">
        <v>3</v>
      </c>
      <c r="I23" s="498">
        <v>23</v>
      </c>
      <c r="J23" s="472">
        <v>712</v>
      </c>
      <c r="K23" s="472">
        <v>670</v>
      </c>
      <c r="L23" s="472">
        <v>670</v>
      </c>
      <c r="M23" s="2135">
        <f t="shared" si="0"/>
        <v>1</v>
      </c>
      <c r="N23" s="472">
        <v>17</v>
      </c>
      <c r="O23" s="472">
        <v>998256</v>
      </c>
      <c r="P23" s="472">
        <v>206408</v>
      </c>
      <c r="Q23" s="472">
        <v>169908</v>
      </c>
      <c r="R23" s="472">
        <v>4408</v>
      </c>
      <c r="S23" s="499">
        <v>4165</v>
      </c>
      <c r="T23" s="472">
        <f t="shared" si="1"/>
        <v>2734.9479452054793</v>
      </c>
      <c r="U23" s="472">
        <f t="shared" si="4"/>
        <v>6191.0112359550558</v>
      </c>
      <c r="V23" s="472">
        <f t="shared" si="4"/>
        <v>6216.4179104477616</v>
      </c>
      <c r="W23" s="472">
        <f t="shared" si="5"/>
        <v>4082.0118585156406</v>
      </c>
      <c r="X23" s="2136">
        <f t="shared" si="2"/>
        <v>0.20676860444615408</v>
      </c>
      <c r="Y23" s="2136">
        <f t="shared" si="3"/>
        <v>0.17020483723613983</v>
      </c>
      <c r="Z23" s="2136">
        <f t="shared" si="6"/>
        <v>0.65665016691608147</v>
      </c>
      <c r="AA23" s="477" t="s">
        <v>1080</v>
      </c>
      <c r="AB23" s="472">
        <v>1177</v>
      </c>
    </row>
    <row r="24" spans="1:28" s="461" customFormat="1" ht="11.25" customHeight="1">
      <c r="A24" s="948"/>
      <c r="B24" s="472">
        <v>18</v>
      </c>
      <c r="C24" s="472" t="s">
        <v>371</v>
      </c>
      <c r="D24" s="472" t="s">
        <v>1082</v>
      </c>
      <c r="E24" s="472" t="s">
        <v>1070</v>
      </c>
      <c r="F24" s="477" t="s">
        <v>1171</v>
      </c>
      <c r="G24" s="498">
        <v>30</v>
      </c>
      <c r="H24" s="498">
        <v>3</v>
      </c>
      <c r="I24" s="498">
        <v>2</v>
      </c>
      <c r="J24" s="472">
        <v>2280</v>
      </c>
      <c r="K24" s="472">
        <v>38</v>
      </c>
      <c r="L24" s="472">
        <v>38</v>
      </c>
      <c r="M24" s="2135">
        <f t="shared" si="0"/>
        <v>1</v>
      </c>
      <c r="N24" s="472">
        <v>18</v>
      </c>
      <c r="O24" s="472">
        <v>16620</v>
      </c>
      <c r="P24" s="472">
        <v>16620</v>
      </c>
      <c r="Q24" s="472">
        <v>16620</v>
      </c>
      <c r="R24" s="472">
        <v>317</v>
      </c>
      <c r="S24" s="499">
        <v>256</v>
      </c>
      <c r="T24" s="472">
        <f t="shared" si="1"/>
        <v>45.534246575342465</v>
      </c>
      <c r="U24" s="472">
        <f t="shared" si="4"/>
        <v>139.03508771929825</v>
      </c>
      <c r="V24" s="472">
        <f t="shared" si="4"/>
        <v>6736.8421052631575</v>
      </c>
      <c r="W24" s="472">
        <f t="shared" si="5"/>
        <v>1198.2696467195385</v>
      </c>
      <c r="X24" s="2136">
        <f t="shared" si="2"/>
        <v>1</v>
      </c>
      <c r="Y24" s="2136">
        <f t="shared" si="3"/>
        <v>1</v>
      </c>
      <c r="Z24" s="2136">
        <f t="shared" si="6"/>
        <v>0.1778681506849315</v>
      </c>
      <c r="AA24" s="477" t="s">
        <v>710</v>
      </c>
      <c r="AB24" s="472">
        <v>3630</v>
      </c>
    </row>
    <row r="25" spans="1:28" s="461" customFormat="1" ht="11.25" customHeight="1">
      <c r="A25" s="948"/>
      <c r="B25" s="472">
        <v>19</v>
      </c>
      <c r="C25" s="472" t="s">
        <v>371</v>
      </c>
      <c r="D25" s="472" t="s">
        <v>1083</v>
      </c>
      <c r="E25" s="472" t="s">
        <v>1070</v>
      </c>
      <c r="F25" s="477" t="s">
        <v>1101</v>
      </c>
      <c r="G25" s="498">
        <v>3</v>
      </c>
      <c r="H25" s="498">
        <v>3</v>
      </c>
      <c r="I25" s="498">
        <v>30</v>
      </c>
      <c r="J25" s="472">
        <v>540</v>
      </c>
      <c r="K25" s="472">
        <v>5</v>
      </c>
      <c r="L25" s="472">
        <v>5</v>
      </c>
      <c r="M25" s="2135">
        <f t="shared" si="0"/>
        <v>1</v>
      </c>
      <c r="N25" s="472">
        <v>19</v>
      </c>
      <c r="O25" s="472">
        <v>14902</v>
      </c>
      <c r="P25" s="472">
        <v>14802</v>
      </c>
      <c r="Q25" s="472">
        <v>13502</v>
      </c>
      <c r="R25" s="472">
        <v>136</v>
      </c>
      <c r="S25" s="499">
        <v>136</v>
      </c>
      <c r="T25" s="472">
        <f t="shared" si="1"/>
        <v>40.827397260273976</v>
      </c>
      <c r="U25" s="472">
        <f t="shared" si="4"/>
        <v>251.85185185185182</v>
      </c>
      <c r="V25" s="472">
        <f t="shared" si="4"/>
        <v>27200</v>
      </c>
      <c r="W25" s="472">
        <f t="shared" si="5"/>
        <v>8165.4794520547948</v>
      </c>
      <c r="X25" s="2136">
        <f t="shared" si="2"/>
        <v>0.9932894913434438</v>
      </c>
      <c r="Y25" s="2136">
        <f t="shared" si="3"/>
        <v>0.90605287880821361</v>
      </c>
      <c r="Z25" s="2136">
        <f t="shared" si="6"/>
        <v>0.30020145044319102</v>
      </c>
      <c r="AA25" s="477" t="s">
        <v>689</v>
      </c>
      <c r="AB25" s="472">
        <v>1650</v>
      </c>
    </row>
    <row r="26" spans="1:28" s="461" customFormat="1" ht="11.25" customHeight="1">
      <c r="A26" s="948"/>
      <c r="B26" s="472">
        <v>20</v>
      </c>
      <c r="C26" s="472" t="s">
        <v>371</v>
      </c>
      <c r="D26" s="472" t="s">
        <v>1084</v>
      </c>
      <c r="E26" s="472" t="s">
        <v>1070</v>
      </c>
      <c r="F26" s="477" t="s">
        <v>1171</v>
      </c>
      <c r="G26" s="498">
        <v>26</v>
      </c>
      <c r="H26" s="498">
        <v>3</v>
      </c>
      <c r="I26" s="498">
        <v>26</v>
      </c>
      <c r="J26" s="472">
        <v>830</v>
      </c>
      <c r="K26" s="472">
        <v>50</v>
      </c>
      <c r="L26" s="472">
        <v>50</v>
      </c>
      <c r="M26" s="2135">
        <f t="shared" si="0"/>
        <v>1</v>
      </c>
      <c r="N26" s="472">
        <v>20</v>
      </c>
      <c r="O26" s="472">
        <v>67896</v>
      </c>
      <c r="P26" s="472">
        <v>43862</v>
      </c>
      <c r="Q26" s="472">
        <v>43862</v>
      </c>
      <c r="R26" s="472">
        <v>450</v>
      </c>
      <c r="S26" s="499">
        <v>450</v>
      </c>
      <c r="T26" s="472">
        <f t="shared" si="1"/>
        <v>186.01643835616437</v>
      </c>
      <c r="U26" s="472">
        <f t="shared" si="4"/>
        <v>542.16867469879514</v>
      </c>
      <c r="V26" s="472">
        <f t="shared" si="4"/>
        <v>9000</v>
      </c>
      <c r="W26" s="472">
        <f t="shared" si="5"/>
        <v>3720.3287671232874</v>
      </c>
      <c r="X26" s="2136">
        <f t="shared" si="2"/>
        <v>0.64601743843525394</v>
      </c>
      <c r="Y26" s="2136">
        <f t="shared" si="3"/>
        <v>0.64601743843525394</v>
      </c>
      <c r="Z26" s="2136">
        <f t="shared" si="6"/>
        <v>0.4133698630136986</v>
      </c>
      <c r="AA26" s="477" t="s">
        <v>710</v>
      </c>
      <c r="AB26" s="472">
        <v>1188</v>
      </c>
    </row>
    <row r="27" spans="1:28" s="461" customFormat="1" ht="11.25" customHeight="1">
      <c r="A27" s="948"/>
      <c r="B27" s="472">
        <v>21</v>
      </c>
      <c r="C27" s="472" t="s">
        <v>371</v>
      </c>
      <c r="D27" s="472" t="s">
        <v>1085</v>
      </c>
      <c r="E27" s="472" t="s">
        <v>1070</v>
      </c>
      <c r="F27" s="477" t="s">
        <v>1171</v>
      </c>
      <c r="G27" s="498">
        <v>31</v>
      </c>
      <c r="H27" s="498">
        <v>3</v>
      </c>
      <c r="I27" s="498">
        <v>25</v>
      </c>
      <c r="J27" s="472">
        <v>298</v>
      </c>
      <c r="K27" s="472">
        <v>8</v>
      </c>
      <c r="L27" s="472">
        <v>8</v>
      </c>
      <c r="M27" s="2135">
        <f t="shared" si="0"/>
        <v>1</v>
      </c>
      <c r="N27" s="472">
        <v>21</v>
      </c>
      <c r="O27" s="472">
        <v>13000</v>
      </c>
      <c r="P27" s="472">
        <v>12616</v>
      </c>
      <c r="Q27" s="472">
        <v>12616</v>
      </c>
      <c r="R27" s="472">
        <v>74.5</v>
      </c>
      <c r="S27" s="499">
        <v>210</v>
      </c>
      <c r="T27" s="472">
        <f t="shared" si="1"/>
        <v>35.61643835616438</v>
      </c>
      <c r="U27" s="472">
        <f t="shared" si="4"/>
        <v>250</v>
      </c>
      <c r="V27" s="472">
        <f t="shared" si="4"/>
        <v>26250</v>
      </c>
      <c r="W27" s="472">
        <f t="shared" si="5"/>
        <v>4452.0547945205471</v>
      </c>
      <c r="X27" s="2136">
        <f t="shared" si="2"/>
        <v>0.97046153846153849</v>
      </c>
      <c r="Y27" s="2136">
        <f t="shared" si="3"/>
        <v>0.97046153846153849</v>
      </c>
      <c r="Z27" s="2136">
        <f t="shared" si="6"/>
        <v>0.16960208741030658</v>
      </c>
      <c r="AA27" s="477" t="s">
        <v>1080</v>
      </c>
      <c r="AB27" s="472">
        <v>4582</v>
      </c>
    </row>
    <row r="28" spans="1:28" s="461" customFormat="1" ht="11.25" customHeight="1">
      <c r="A28" s="948"/>
      <c r="B28" s="478">
        <v>22</v>
      </c>
      <c r="C28" s="473" t="s">
        <v>371</v>
      </c>
      <c r="D28" s="473" t="s">
        <v>1086</v>
      </c>
      <c r="E28" s="473" t="s">
        <v>1070</v>
      </c>
      <c r="F28" s="474" t="s">
        <v>1171</v>
      </c>
      <c r="G28" s="475">
        <v>27</v>
      </c>
      <c r="H28" s="475">
        <v>4</v>
      </c>
      <c r="I28" s="475">
        <v>14</v>
      </c>
      <c r="J28" s="473">
        <v>588</v>
      </c>
      <c r="K28" s="473">
        <v>7</v>
      </c>
      <c r="L28" s="473">
        <v>7</v>
      </c>
      <c r="M28" s="2123">
        <f t="shared" si="0"/>
        <v>1</v>
      </c>
      <c r="N28" s="478">
        <v>22</v>
      </c>
      <c r="O28" s="473">
        <v>6825</v>
      </c>
      <c r="P28" s="473">
        <v>6805</v>
      </c>
      <c r="Q28" s="473">
        <v>6805</v>
      </c>
      <c r="R28" s="473">
        <v>65</v>
      </c>
      <c r="S28" s="476">
        <v>49</v>
      </c>
      <c r="T28" s="473">
        <f t="shared" si="1"/>
        <v>18.698630136986303</v>
      </c>
      <c r="U28" s="473">
        <f t="shared" si="4"/>
        <v>110.54421768707483</v>
      </c>
      <c r="V28" s="478">
        <f t="shared" si="4"/>
        <v>7000</v>
      </c>
      <c r="W28" s="478">
        <f t="shared" si="5"/>
        <v>2671.2328767123286</v>
      </c>
      <c r="X28" s="2124">
        <f t="shared" si="2"/>
        <v>0.99706959706959708</v>
      </c>
      <c r="Y28" s="2124">
        <f t="shared" si="3"/>
        <v>0.99706959706959708</v>
      </c>
      <c r="Z28" s="2124">
        <f t="shared" si="6"/>
        <v>0.38160469667318986</v>
      </c>
      <c r="AA28" s="479" t="s">
        <v>710</v>
      </c>
      <c r="AB28" s="478">
        <v>3300</v>
      </c>
    </row>
    <row r="29" spans="1:28" s="461" customFormat="1" ht="11.25" customHeight="1">
      <c r="A29" s="948"/>
      <c r="B29" s="482">
        <v>23</v>
      </c>
      <c r="C29" s="467" t="s">
        <v>373</v>
      </c>
      <c r="D29" s="467" t="s">
        <v>1087</v>
      </c>
      <c r="E29" s="467" t="s">
        <v>1063</v>
      </c>
      <c r="F29" s="468" t="s">
        <v>1171</v>
      </c>
      <c r="G29" s="469">
        <v>6</v>
      </c>
      <c r="H29" s="469">
        <v>3</v>
      </c>
      <c r="I29" s="469">
        <v>31</v>
      </c>
      <c r="J29" s="467">
        <v>105</v>
      </c>
      <c r="K29" s="467">
        <v>54</v>
      </c>
      <c r="L29" s="467">
        <v>54</v>
      </c>
      <c r="M29" s="2121">
        <f t="shared" si="0"/>
        <v>1</v>
      </c>
      <c r="N29" s="482">
        <v>23</v>
      </c>
      <c r="O29" s="467">
        <v>42907</v>
      </c>
      <c r="P29" s="467">
        <v>10611</v>
      </c>
      <c r="Q29" s="467">
        <v>10063</v>
      </c>
      <c r="R29" s="467">
        <v>227</v>
      </c>
      <c r="S29" s="470">
        <v>215</v>
      </c>
      <c r="T29" s="467">
        <f t="shared" si="1"/>
        <v>117.55342465753425</v>
      </c>
      <c r="U29" s="467">
        <f t="shared" si="4"/>
        <v>2161.9047619047619</v>
      </c>
      <c r="V29" s="467">
        <f t="shared" si="4"/>
        <v>3981.4814814814813</v>
      </c>
      <c r="W29" s="467">
        <f t="shared" si="5"/>
        <v>2176.9152714358192</v>
      </c>
      <c r="X29" s="2122">
        <f t="shared" si="2"/>
        <v>0.24730230498520056</v>
      </c>
      <c r="Y29" s="2122">
        <f t="shared" si="3"/>
        <v>0.23453049618943295</v>
      </c>
      <c r="Z29" s="2122">
        <f t="shared" si="6"/>
        <v>0.54676011468620578</v>
      </c>
      <c r="AA29" s="483" t="s">
        <v>1080</v>
      </c>
      <c r="AB29" s="482">
        <v>1620</v>
      </c>
    </row>
    <row r="30" spans="1:28" s="461" customFormat="1" ht="11.25" customHeight="1">
      <c r="A30" s="948"/>
      <c r="B30" s="472">
        <v>24</v>
      </c>
      <c r="C30" s="472" t="s">
        <v>373</v>
      </c>
      <c r="D30" s="472" t="s">
        <v>1088</v>
      </c>
      <c r="E30" s="472" t="s">
        <v>1063</v>
      </c>
      <c r="F30" s="477" t="s">
        <v>1171</v>
      </c>
      <c r="G30" s="498">
        <v>4</v>
      </c>
      <c r="H30" s="498">
        <v>4</v>
      </c>
      <c r="I30" s="498">
        <v>1</v>
      </c>
      <c r="J30" s="472">
        <v>500</v>
      </c>
      <c r="K30" s="472">
        <v>257</v>
      </c>
      <c r="L30" s="472">
        <v>257</v>
      </c>
      <c r="M30" s="2135">
        <f t="shared" si="0"/>
        <v>1</v>
      </c>
      <c r="N30" s="472">
        <v>24</v>
      </c>
      <c r="O30" s="472">
        <v>429878</v>
      </c>
      <c r="P30" s="472">
        <v>130754</v>
      </c>
      <c r="Q30" s="472">
        <v>121250</v>
      </c>
      <c r="R30" s="472">
        <v>4600</v>
      </c>
      <c r="S30" s="499">
        <v>1446</v>
      </c>
      <c r="T30" s="472">
        <f t="shared" si="1"/>
        <v>1177.7479452054795</v>
      </c>
      <c r="U30" s="472">
        <f t="shared" si="4"/>
        <v>9200</v>
      </c>
      <c r="V30" s="472">
        <f t="shared" si="4"/>
        <v>5626.459143968872</v>
      </c>
      <c r="W30" s="472">
        <f t="shared" si="5"/>
        <v>4582.6768295933052</v>
      </c>
      <c r="X30" s="2136">
        <f t="shared" si="2"/>
        <v>0.30416536784855236</v>
      </c>
      <c r="Y30" s="2136">
        <f t="shared" si="3"/>
        <v>0.2820567695950944</v>
      </c>
      <c r="Z30" s="2136">
        <f t="shared" si="6"/>
        <v>0.81448682241042836</v>
      </c>
      <c r="AA30" s="477" t="s">
        <v>1080</v>
      </c>
      <c r="AB30" s="472">
        <v>1620</v>
      </c>
    </row>
    <row r="31" spans="1:28" s="461" customFormat="1" ht="11.25" customHeight="1" thickBot="1">
      <c r="A31" s="948"/>
      <c r="B31" s="472">
        <v>25</v>
      </c>
      <c r="C31" s="488" t="s">
        <v>373</v>
      </c>
      <c r="D31" s="488" t="s">
        <v>1089</v>
      </c>
      <c r="E31" s="488" t="s">
        <v>1063</v>
      </c>
      <c r="F31" s="808" t="s">
        <v>1171</v>
      </c>
      <c r="G31" s="501">
        <v>3</v>
      </c>
      <c r="H31" s="501">
        <v>3</v>
      </c>
      <c r="I31" s="501">
        <v>8</v>
      </c>
      <c r="J31" s="488">
        <v>300</v>
      </c>
      <c r="K31" s="488">
        <v>127</v>
      </c>
      <c r="L31" s="488">
        <v>127</v>
      </c>
      <c r="M31" s="2129">
        <f t="shared" si="0"/>
        <v>1</v>
      </c>
      <c r="N31" s="472">
        <v>25</v>
      </c>
      <c r="O31" s="488">
        <v>66680</v>
      </c>
      <c r="P31" s="488">
        <v>50952</v>
      </c>
      <c r="Q31" s="488">
        <v>48221</v>
      </c>
      <c r="R31" s="488">
        <v>1400</v>
      </c>
      <c r="S31" s="489">
        <v>280</v>
      </c>
      <c r="T31" s="488">
        <f t="shared" si="1"/>
        <v>182.68493150684932</v>
      </c>
      <c r="U31" s="488">
        <f t="shared" si="4"/>
        <v>4666.666666666667</v>
      </c>
      <c r="V31" s="488">
        <f t="shared" si="4"/>
        <v>2204.7244094488192</v>
      </c>
      <c r="W31" s="488">
        <f t="shared" si="5"/>
        <v>1438.4640276129867</v>
      </c>
      <c r="X31" s="2130">
        <f t="shared" si="2"/>
        <v>0.76412717456508694</v>
      </c>
      <c r="Y31" s="2130">
        <f t="shared" si="3"/>
        <v>0.72317036592681461</v>
      </c>
      <c r="Z31" s="2130">
        <f t="shared" si="6"/>
        <v>0.65244618395303333</v>
      </c>
      <c r="AA31" s="483" t="s">
        <v>1080</v>
      </c>
      <c r="AB31" s="482">
        <v>1620</v>
      </c>
    </row>
    <row r="32" spans="1:28" s="461" customFormat="1" ht="11.25" customHeight="1" thickTop="1">
      <c r="A32" s="948"/>
      <c r="B32" s="502"/>
      <c r="C32" s="503"/>
      <c r="D32" s="503" t="s">
        <v>34</v>
      </c>
      <c r="E32" s="504"/>
      <c r="F32" s="505"/>
      <c r="G32" s="504"/>
      <c r="H32" s="504"/>
      <c r="I32" s="504"/>
      <c r="J32" s="504">
        <f>SUM(J7:J31)</f>
        <v>23323</v>
      </c>
      <c r="K32" s="504">
        <f>SUM(K7:K31)</f>
        <v>11676</v>
      </c>
      <c r="L32" s="504">
        <f>SUM(L7:L31)</f>
        <v>11691</v>
      </c>
      <c r="M32" s="2137">
        <f t="shared" si="0"/>
        <v>0.99871696176546065</v>
      </c>
      <c r="N32" s="506"/>
      <c r="O32" s="504">
        <f t="shared" ref="O32:T32" si="7">SUM(O7:O31)</f>
        <v>3399405</v>
      </c>
      <c r="P32" s="504">
        <f t="shared" si="7"/>
        <v>2045304</v>
      </c>
      <c r="Q32" s="504">
        <f t="shared" si="7"/>
        <v>1931595</v>
      </c>
      <c r="R32" s="504">
        <f t="shared" si="7"/>
        <v>20755.5</v>
      </c>
      <c r="S32" s="504">
        <f t="shared" si="7"/>
        <v>15884</v>
      </c>
      <c r="T32" s="504">
        <f t="shared" si="7"/>
        <v>9313.4383561643826</v>
      </c>
      <c r="U32" s="504">
        <f t="shared" ref="U32:V32" si="8">(R32/J32)*1000</f>
        <v>889.91553402220984</v>
      </c>
      <c r="V32" s="504">
        <f t="shared" si="8"/>
        <v>1360.3973963686194</v>
      </c>
      <c r="W32" s="504">
        <f t="shared" si="5"/>
        <v>797.65659096988554</v>
      </c>
      <c r="X32" s="2138">
        <f t="shared" si="2"/>
        <v>0.60166529142599956</v>
      </c>
      <c r="Y32" s="2138">
        <f t="shared" si="3"/>
        <v>0.56821561420307376</v>
      </c>
      <c r="Z32" s="2138">
        <f t="shared" si="6"/>
        <v>0.58634086855731449</v>
      </c>
      <c r="AA32" s="507" t="s">
        <v>1090</v>
      </c>
      <c r="AB32" s="508">
        <f>AVERAGE(AB7:AB31)</f>
        <v>2078.52</v>
      </c>
    </row>
    <row r="33" spans="1:28" s="461" customFormat="1" ht="11.25" customHeight="1">
      <c r="A33" s="949"/>
      <c r="B33" s="509"/>
      <c r="C33" s="510"/>
      <c r="D33" s="510"/>
      <c r="E33" s="511"/>
      <c r="F33" s="512"/>
      <c r="G33" s="511"/>
      <c r="H33" s="511"/>
      <c r="I33" s="511"/>
      <c r="J33" s="511"/>
      <c r="K33" s="511"/>
      <c r="L33" s="511"/>
      <c r="M33" s="513"/>
      <c r="N33" s="514"/>
      <c r="O33" s="511"/>
      <c r="P33" s="511"/>
      <c r="Q33" s="511"/>
      <c r="R33" s="511"/>
      <c r="S33" s="511"/>
      <c r="T33" s="511"/>
      <c r="U33" s="511"/>
      <c r="V33" s="511"/>
      <c r="W33" s="511"/>
      <c r="X33" s="515"/>
      <c r="Y33" s="515"/>
      <c r="Z33" s="515"/>
      <c r="AA33" s="516"/>
      <c r="AB33" s="511"/>
    </row>
    <row r="34" spans="1:28" s="461" customFormat="1" ht="11.25" customHeight="1">
      <c r="A34" s="948" t="s">
        <v>1091</v>
      </c>
      <c r="B34" s="517">
        <v>26</v>
      </c>
      <c r="C34" s="518" t="s">
        <v>375</v>
      </c>
      <c r="D34" s="518" t="s">
        <v>1092</v>
      </c>
      <c r="E34" s="518" t="s">
        <v>1060</v>
      </c>
      <c r="F34" s="519" t="s">
        <v>1180</v>
      </c>
      <c r="G34" s="520">
        <v>28</v>
      </c>
      <c r="H34" s="520">
        <v>3</v>
      </c>
      <c r="I34" s="520">
        <v>26</v>
      </c>
      <c r="J34" s="518">
        <v>1150</v>
      </c>
      <c r="K34" s="520">
        <v>200</v>
      </c>
      <c r="L34" s="498">
        <v>200</v>
      </c>
      <c r="M34" s="2135">
        <f t="shared" ref="M34:M37" si="9">K34/L34</f>
        <v>1</v>
      </c>
      <c r="N34" s="482">
        <v>26</v>
      </c>
      <c r="O34" s="472">
        <v>73545</v>
      </c>
      <c r="P34" s="472">
        <v>73545</v>
      </c>
      <c r="Q34" s="472">
        <v>73545</v>
      </c>
      <c r="R34" s="472">
        <v>151.5</v>
      </c>
      <c r="S34" s="498">
        <v>238</v>
      </c>
      <c r="T34" s="472">
        <f t="shared" ref="T34:T36" si="10">O34/365</f>
        <v>201.49315068493149</v>
      </c>
      <c r="U34" s="472">
        <f t="shared" ref="U34:V37" si="11">(R34/J34)*1000</f>
        <v>131.7391304347826</v>
      </c>
      <c r="V34" s="472">
        <f t="shared" si="11"/>
        <v>1190</v>
      </c>
      <c r="W34" s="472">
        <f t="shared" ref="W34:W37" si="12">(T34/K34)*1000</f>
        <v>1007.4657534246574</v>
      </c>
      <c r="X34" s="2136">
        <f t="shared" ref="X34:X37" si="13">P34/O34</f>
        <v>1</v>
      </c>
      <c r="Y34" s="2136">
        <f t="shared" ref="Y34:Y37" si="14">Q34/O34</f>
        <v>1</v>
      </c>
      <c r="Z34" s="2136">
        <f t="shared" ref="Z34:Z37" si="15">T34/S34</f>
        <v>0.84660987682744326</v>
      </c>
      <c r="AA34" s="477" t="s">
        <v>689</v>
      </c>
      <c r="AB34" s="472">
        <v>1400</v>
      </c>
    </row>
    <row r="35" spans="1:28" s="524" customFormat="1" ht="11.25" customHeight="1">
      <c r="A35" s="948"/>
      <c r="B35" s="521">
        <v>27</v>
      </c>
      <c r="C35" s="521" t="s">
        <v>375</v>
      </c>
      <c r="D35" s="521" t="s">
        <v>1093</v>
      </c>
      <c r="E35" s="521" t="s">
        <v>1070</v>
      </c>
      <c r="F35" s="522" t="s">
        <v>1171</v>
      </c>
      <c r="G35" s="523">
        <v>31</v>
      </c>
      <c r="H35" s="523">
        <v>3</v>
      </c>
      <c r="I35" s="523">
        <v>27</v>
      </c>
      <c r="J35" s="478">
        <v>105</v>
      </c>
      <c r="K35" s="523">
        <v>16</v>
      </c>
      <c r="L35" s="480">
        <v>16</v>
      </c>
      <c r="M35" s="2125">
        <f t="shared" si="9"/>
        <v>1</v>
      </c>
      <c r="N35" s="478">
        <v>27</v>
      </c>
      <c r="O35" s="478">
        <v>71752</v>
      </c>
      <c r="P35" s="478">
        <v>71752</v>
      </c>
      <c r="Q35" s="478">
        <v>71752</v>
      </c>
      <c r="R35" s="478">
        <v>400</v>
      </c>
      <c r="S35" s="480">
        <v>267</v>
      </c>
      <c r="T35" s="478">
        <f t="shared" si="10"/>
        <v>196.58082191780821</v>
      </c>
      <c r="U35" s="478">
        <f t="shared" si="11"/>
        <v>3809.5238095238092</v>
      </c>
      <c r="V35" s="478">
        <f t="shared" si="11"/>
        <v>16687.5</v>
      </c>
      <c r="W35" s="478">
        <f t="shared" si="12"/>
        <v>12286.301369863013</v>
      </c>
      <c r="X35" s="2126">
        <f t="shared" si="13"/>
        <v>1</v>
      </c>
      <c r="Y35" s="2126">
        <f t="shared" si="14"/>
        <v>1</v>
      </c>
      <c r="Z35" s="2126">
        <f t="shared" si="15"/>
        <v>0.73625775999179099</v>
      </c>
      <c r="AA35" s="479" t="s">
        <v>1057</v>
      </c>
      <c r="AB35" s="478">
        <v>2160</v>
      </c>
    </row>
    <row r="36" spans="1:28" s="461" customFormat="1" ht="11.25" customHeight="1" thickBot="1">
      <c r="A36" s="948"/>
      <c r="B36" s="517">
        <v>28</v>
      </c>
      <c r="C36" s="517" t="s">
        <v>379</v>
      </c>
      <c r="D36" s="517" t="s">
        <v>379</v>
      </c>
      <c r="E36" s="517" t="s">
        <v>1074</v>
      </c>
      <c r="F36" s="525" t="s">
        <v>1171</v>
      </c>
      <c r="G36" s="526">
        <v>24</v>
      </c>
      <c r="H36" s="526">
        <v>11</v>
      </c>
      <c r="I36" s="526">
        <v>12</v>
      </c>
      <c r="J36" s="527">
        <v>4740</v>
      </c>
      <c r="K36" s="527">
        <v>4074</v>
      </c>
      <c r="L36" s="528">
        <v>4074</v>
      </c>
      <c r="M36" s="2139">
        <f t="shared" si="9"/>
        <v>1</v>
      </c>
      <c r="N36" s="482">
        <v>28</v>
      </c>
      <c r="O36" s="528">
        <v>533082</v>
      </c>
      <c r="P36" s="528">
        <v>459082</v>
      </c>
      <c r="Q36" s="528">
        <v>385082</v>
      </c>
      <c r="R36" s="528">
        <v>1970</v>
      </c>
      <c r="S36" s="529">
        <v>1930</v>
      </c>
      <c r="T36" s="528">
        <f t="shared" si="10"/>
        <v>1460.4986301369863</v>
      </c>
      <c r="U36" s="528">
        <f t="shared" si="11"/>
        <v>415.61181434599155</v>
      </c>
      <c r="V36" s="528">
        <f t="shared" si="11"/>
        <v>473.73588610702012</v>
      </c>
      <c r="W36" s="528">
        <f t="shared" si="12"/>
        <v>358.49254544354108</v>
      </c>
      <c r="X36" s="2140">
        <f t="shared" si="13"/>
        <v>0.86118458323484948</v>
      </c>
      <c r="Y36" s="2140">
        <f t="shared" si="14"/>
        <v>0.72236916646969884</v>
      </c>
      <c r="Z36" s="2140">
        <f t="shared" si="15"/>
        <v>0.75673504152175453</v>
      </c>
      <c r="AA36" s="483" t="s">
        <v>710</v>
      </c>
      <c r="AB36" s="482">
        <v>1555</v>
      </c>
    </row>
    <row r="37" spans="1:28" s="461" customFormat="1" ht="11.25" customHeight="1" thickTop="1">
      <c r="A37" s="948"/>
      <c r="B37" s="502"/>
      <c r="C37" s="503"/>
      <c r="D37" s="503" t="s">
        <v>34</v>
      </c>
      <c r="E37" s="504"/>
      <c r="F37" s="505"/>
      <c r="G37" s="504"/>
      <c r="H37" s="504"/>
      <c r="I37" s="504"/>
      <c r="J37" s="530">
        <f>SUM(J34:J36)</f>
        <v>5995</v>
      </c>
      <c r="K37" s="530">
        <f t="shared" ref="K37:L37" si="16">SUM(K34:K36)</f>
        <v>4290</v>
      </c>
      <c r="L37" s="530">
        <f t="shared" si="16"/>
        <v>4290</v>
      </c>
      <c r="M37" s="531">
        <f t="shared" si="9"/>
        <v>1</v>
      </c>
      <c r="N37" s="506"/>
      <c r="O37" s="530">
        <f t="shared" ref="O37:T37" si="17">SUM(O34:O36)</f>
        <v>678379</v>
      </c>
      <c r="P37" s="530">
        <f t="shared" si="17"/>
        <v>604379</v>
      </c>
      <c r="Q37" s="530">
        <f t="shared" si="17"/>
        <v>530379</v>
      </c>
      <c r="R37" s="530">
        <f t="shared" si="17"/>
        <v>2521.5</v>
      </c>
      <c r="S37" s="530">
        <f t="shared" si="17"/>
        <v>2435</v>
      </c>
      <c r="T37" s="530">
        <f t="shared" si="17"/>
        <v>1858.5726027397259</v>
      </c>
      <c r="U37" s="530">
        <f t="shared" si="11"/>
        <v>420.60050041701419</v>
      </c>
      <c r="V37" s="530">
        <f t="shared" si="11"/>
        <v>567.59906759906767</v>
      </c>
      <c r="W37" s="530">
        <f t="shared" si="12"/>
        <v>433.23370693233704</v>
      </c>
      <c r="X37" s="2141">
        <f t="shared" si="13"/>
        <v>0.89091643461840653</v>
      </c>
      <c r="Y37" s="2141">
        <f t="shared" si="14"/>
        <v>0.78183286923681306</v>
      </c>
      <c r="Z37" s="2141">
        <f t="shared" si="15"/>
        <v>0.76327416950296756</v>
      </c>
      <c r="AA37" s="507" t="s">
        <v>1094</v>
      </c>
      <c r="AB37" s="508">
        <f>AVERAGE(AB34:AB36)</f>
        <v>1705</v>
      </c>
    </row>
    <row r="38" spans="1:28" s="461" customFormat="1" ht="11.25" customHeight="1">
      <c r="A38" s="949"/>
      <c r="B38" s="509"/>
      <c r="C38" s="510"/>
      <c r="D38" s="510"/>
      <c r="E38" s="511"/>
      <c r="F38" s="512"/>
      <c r="G38" s="511"/>
      <c r="H38" s="511"/>
      <c r="I38" s="511"/>
      <c r="J38" s="511"/>
      <c r="K38" s="511"/>
      <c r="L38" s="511"/>
      <c r="M38" s="513"/>
      <c r="N38" s="514"/>
      <c r="O38" s="511"/>
      <c r="P38" s="511"/>
      <c r="Q38" s="511"/>
      <c r="R38" s="511"/>
      <c r="S38" s="511"/>
      <c r="T38" s="511"/>
      <c r="U38" s="511"/>
      <c r="V38" s="511"/>
      <c r="W38" s="511"/>
      <c r="X38" s="515"/>
      <c r="Y38" s="515"/>
      <c r="Z38" s="515"/>
      <c r="AA38" s="516"/>
      <c r="AB38" s="511"/>
    </row>
    <row r="39" spans="1:28" s="461" customFormat="1" ht="11.25" customHeight="1">
      <c r="A39" s="947" t="s">
        <v>1095</v>
      </c>
      <c r="B39" s="491">
        <v>29</v>
      </c>
      <c r="C39" s="491" t="s">
        <v>381</v>
      </c>
      <c r="D39" s="491" t="s">
        <v>1096</v>
      </c>
      <c r="E39" s="491" t="s">
        <v>1060</v>
      </c>
      <c r="F39" s="492" t="s">
        <v>1180</v>
      </c>
      <c r="G39" s="493">
        <v>26</v>
      </c>
      <c r="H39" s="493">
        <v>2</v>
      </c>
      <c r="I39" s="493">
        <v>19</v>
      </c>
      <c r="J39" s="491">
        <v>350</v>
      </c>
      <c r="K39" s="491">
        <v>131</v>
      </c>
      <c r="L39" s="491">
        <v>131</v>
      </c>
      <c r="M39" s="2131">
        <f t="shared" ref="M39:M53" si="18">K39/L39</f>
        <v>1</v>
      </c>
      <c r="N39" s="491">
        <v>29</v>
      </c>
      <c r="O39" s="491">
        <v>14898</v>
      </c>
      <c r="P39" s="491">
        <v>14898</v>
      </c>
      <c r="Q39" s="491">
        <v>14898</v>
      </c>
      <c r="R39" s="491">
        <v>35</v>
      </c>
      <c r="S39" s="491">
        <v>47</v>
      </c>
      <c r="T39" s="491">
        <f t="shared" ref="T39:T52" si="19">O39/365</f>
        <v>40.816438356164383</v>
      </c>
      <c r="U39" s="491">
        <f t="shared" ref="U39:V53" si="20">(R39/J39)*1000</f>
        <v>100</v>
      </c>
      <c r="V39" s="491">
        <f t="shared" si="20"/>
        <v>358.77862595419845</v>
      </c>
      <c r="W39" s="491">
        <f t="shared" ref="W39:W53" si="21">(T39/K39)*1000</f>
        <v>311.57586531423192</v>
      </c>
      <c r="X39" s="2132">
        <f t="shared" ref="X39:X53" si="22">P39/O39</f>
        <v>1</v>
      </c>
      <c r="Y39" s="2132">
        <f t="shared" ref="Y39:Y53" si="23">Q39/O39</f>
        <v>1</v>
      </c>
      <c r="Z39" s="2132">
        <f t="shared" ref="Z39:Z53" si="24">T39/S39</f>
        <v>0.86843485864179537</v>
      </c>
      <c r="AA39" s="492" t="s">
        <v>710</v>
      </c>
      <c r="AB39" s="491">
        <v>2000</v>
      </c>
    </row>
    <row r="40" spans="1:28" s="461" customFormat="1" ht="11.25" customHeight="1">
      <c r="A40" s="948"/>
      <c r="B40" s="488">
        <v>30</v>
      </c>
      <c r="C40" s="482" t="s">
        <v>383</v>
      </c>
      <c r="D40" s="482" t="s">
        <v>1097</v>
      </c>
      <c r="E40" s="482" t="s">
        <v>1056</v>
      </c>
      <c r="F40" s="483" t="s">
        <v>1171</v>
      </c>
      <c r="G40" s="484">
        <v>31</v>
      </c>
      <c r="H40" s="484">
        <v>3</v>
      </c>
      <c r="I40" s="484">
        <v>18</v>
      </c>
      <c r="J40" s="482">
        <v>229</v>
      </c>
      <c r="K40" s="482">
        <v>190</v>
      </c>
      <c r="L40" s="482">
        <v>190</v>
      </c>
      <c r="M40" s="2127">
        <f t="shared" si="18"/>
        <v>1</v>
      </c>
      <c r="N40" s="488">
        <v>30</v>
      </c>
      <c r="O40" s="482">
        <v>35958</v>
      </c>
      <c r="P40" s="482">
        <v>35958</v>
      </c>
      <c r="Q40" s="482">
        <v>35958</v>
      </c>
      <c r="R40" s="482">
        <v>152</v>
      </c>
      <c r="S40" s="482">
        <v>152</v>
      </c>
      <c r="T40" s="482">
        <f t="shared" si="19"/>
        <v>98.515068493150679</v>
      </c>
      <c r="U40" s="482">
        <f t="shared" si="20"/>
        <v>663.75545851528386</v>
      </c>
      <c r="V40" s="482">
        <f t="shared" si="20"/>
        <v>800</v>
      </c>
      <c r="W40" s="482">
        <f t="shared" si="21"/>
        <v>518.50036049026676</v>
      </c>
      <c r="X40" s="2128">
        <f t="shared" si="22"/>
        <v>1</v>
      </c>
      <c r="Y40" s="2128">
        <f t="shared" si="23"/>
        <v>1</v>
      </c>
      <c r="Z40" s="2128">
        <f t="shared" si="24"/>
        <v>0.64812545061283344</v>
      </c>
      <c r="AA40" s="483" t="s">
        <v>1080</v>
      </c>
      <c r="AB40" s="482">
        <v>862</v>
      </c>
    </row>
    <row r="41" spans="1:28" s="461" customFormat="1" ht="11.25" customHeight="1">
      <c r="A41" s="948"/>
      <c r="B41" s="478">
        <v>31</v>
      </c>
      <c r="C41" s="473" t="s">
        <v>1098</v>
      </c>
      <c r="D41" s="478" t="s">
        <v>1099</v>
      </c>
      <c r="E41" s="478" t="s">
        <v>1100</v>
      </c>
      <c r="F41" s="479" t="s">
        <v>1101</v>
      </c>
      <c r="G41" s="480">
        <v>2</v>
      </c>
      <c r="H41" s="480">
        <v>3</v>
      </c>
      <c r="I41" s="501">
        <v>30</v>
      </c>
      <c r="J41" s="478">
        <v>1050</v>
      </c>
      <c r="K41" s="478">
        <v>17</v>
      </c>
      <c r="L41" s="478">
        <v>18</v>
      </c>
      <c r="M41" s="2125">
        <f t="shared" si="18"/>
        <v>0.94444444444444442</v>
      </c>
      <c r="N41" s="478">
        <v>31</v>
      </c>
      <c r="O41" s="478">
        <v>4294</v>
      </c>
      <c r="P41" s="478">
        <v>4294</v>
      </c>
      <c r="Q41" s="478">
        <v>4294</v>
      </c>
      <c r="R41" s="478">
        <v>263</v>
      </c>
      <c r="S41" s="478">
        <v>52</v>
      </c>
      <c r="T41" s="478">
        <f t="shared" si="19"/>
        <v>11.764383561643836</v>
      </c>
      <c r="U41" s="478">
        <f t="shared" si="20"/>
        <v>250.47619047619045</v>
      </c>
      <c r="V41" s="478">
        <f t="shared" si="20"/>
        <v>3058.8235294117644</v>
      </c>
      <c r="W41" s="478">
        <f t="shared" si="21"/>
        <v>692.02256244963746</v>
      </c>
      <c r="X41" s="2126">
        <f t="shared" si="22"/>
        <v>1</v>
      </c>
      <c r="Y41" s="2126">
        <f t="shared" si="23"/>
        <v>1</v>
      </c>
      <c r="Z41" s="2126">
        <f t="shared" si="24"/>
        <v>0.22623814541622761</v>
      </c>
      <c r="AA41" s="479" t="s">
        <v>689</v>
      </c>
      <c r="AB41" s="478">
        <v>2200</v>
      </c>
    </row>
    <row r="42" spans="1:28" s="461" customFormat="1" ht="11.25" customHeight="1">
      <c r="A42" s="948"/>
      <c r="B42" s="488">
        <v>32</v>
      </c>
      <c r="C42" s="467" t="s">
        <v>384</v>
      </c>
      <c r="D42" s="482" t="s">
        <v>1102</v>
      </c>
      <c r="E42" s="482" t="s">
        <v>1060</v>
      </c>
      <c r="F42" s="807" t="s">
        <v>1171</v>
      </c>
      <c r="G42" s="484">
        <v>27</v>
      </c>
      <c r="H42" s="484">
        <v>7</v>
      </c>
      <c r="I42" s="469">
        <v>24</v>
      </c>
      <c r="J42" s="482">
        <v>670</v>
      </c>
      <c r="K42" s="482">
        <v>82</v>
      </c>
      <c r="L42" s="482">
        <v>82</v>
      </c>
      <c r="M42" s="2127">
        <f t="shared" si="18"/>
        <v>1</v>
      </c>
      <c r="N42" s="488">
        <v>32</v>
      </c>
      <c r="O42" s="482">
        <v>49118</v>
      </c>
      <c r="P42" s="482">
        <v>37538</v>
      </c>
      <c r="Q42" s="482">
        <v>22338</v>
      </c>
      <c r="R42" s="482">
        <v>286</v>
      </c>
      <c r="S42" s="482">
        <v>935</v>
      </c>
      <c r="T42" s="482">
        <f t="shared" si="19"/>
        <v>134.56986301369864</v>
      </c>
      <c r="U42" s="482">
        <f t="shared" si="20"/>
        <v>426.86567164179104</v>
      </c>
      <c r="V42" s="482">
        <f t="shared" si="20"/>
        <v>11402.439024390244</v>
      </c>
      <c r="W42" s="482">
        <f t="shared" si="21"/>
        <v>1641.0958904109589</v>
      </c>
      <c r="X42" s="2128">
        <f t="shared" si="22"/>
        <v>0.76424121503318543</v>
      </c>
      <c r="Y42" s="2128">
        <f t="shared" si="23"/>
        <v>0.45478236084531132</v>
      </c>
      <c r="Z42" s="2128">
        <f t="shared" si="24"/>
        <v>0.14392498718042634</v>
      </c>
      <c r="AA42" s="483" t="s">
        <v>689</v>
      </c>
      <c r="AB42" s="482">
        <v>2600</v>
      </c>
    </row>
    <row r="43" spans="1:28" s="461" customFormat="1" ht="11.25" customHeight="1">
      <c r="A43" s="948"/>
      <c r="B43" s="472">
        <v>33</v>
      </c>
      <c r="C43" s="472" t="s">
        <v>384</v>
      </c>
      <c r="D43" s="472" t="s">
        <v>1103</v>
      </c>
      <c r="E43" s="472" t="s">
        <v>1070</v>
      </c>
      <c r="F43" s="474" t="s">
        <v>1101</v>
      </c>
      <c r="G43" s="498">
        <v>3</v>
      </c>
      <c r="H43" s="498">
        <v>3</v>
      </c>
      <c r="I43" s="498">
        <v>24</v>
      </c>
      <c r="J43" s="472">
        <v>1540</v>
      </c>
      <c r="K43" s="472">
        <v>16</v>
      </c>
      <c r="L43" s="472">
        <v>16</v>
      </c>
      <c r="M43" s="2135">
        <f t="shared" si="18"/>
        <v>1</v>
      </c>
      <c r="N43" s="472">
        <v>33</v>
      </c>
      <c r="O43" s="472">
        <v>146000</v>
      </c>
      <c r="P43" s="472">
        <v>146000</v>
      </c>
      <c r="Q43" s="472">
        <v>146000</v>
      </c>
      <c r="R43" s="472">
        <v>629</v>
      </c>
      <c r="S43" s="472">
        <v>629</v>
      </c>
      <c r="T43" s="472">
        <f t="shared" si="19"/>
        <v>400</v>
      </c>
      <c r="U43" s="472">
        <f t="shared" si="20"/>
        <v>408.44155844155841</v>
      </c>
      <c r="V43" s="532">
        <f t="shared" si="20"/>
        <v>39312.5</v>
      </c>
      <c r="W43" s="532">
        <f t="shared" si="21"/>
        <v>25000</v>
      </c>
      <c r="X43" s="2136">
        <f t="shared" si="22"/>
        <v>1</v>
      </c>
      <c r="Y43" s="2136">
        <f t="shared" si="23"/>
        <v>1</v>
      </c>
      <c r="Z43" s="2136">
        <f t="shared" si="24"/>
        <v>0.63593004769475359</v>
      </c>
      <c r="AA43" s="477" t="s">
        <v>1080</v>
      </c>
      <c r="AB43" s="472">
        <v>2750</v>
      </c>
    </row>
    <row r="44" spans="1:28" s="461" customFormat="1" ht="11.25" customHeight="1">
      <c r="A44" s="948"/>
      <c r="B44" s="488">
        <v>34</v>
      </c>
      <c r="C44" s="472" t="s">
        <v>384</v>
      </c>
      <c r="D44" s="472" t="s">
        <v>1104</v>
      </c>
      <c r="E44" s="472" t="s">
        <v>1070</v>
      </c>
      <c r="F44" s="474" t="s">
        <v>1171</v>
      </c>
      <c r="G44" s="498">
        <v>24</v>
      </c>
      <c r="H44" s="498">
        <v>2</v>
      </c>
      <c r="I44" s="498">
        <v>21</v>
      </c>
      <c r="J44" s="472">
        <v>337</v>
      </c>
      <c r="K44" s="472">
        <v>9</v>
      </c>
      <c r="L44" s="472">
        <v>9</v>
      </c>
      <c r="M44" s="2135">
        <f t="shared" si="18"/>
        <v>1</v>
      </c>
      <c r="N44" s="488">
        <v>34</v>
      </c>
      <c r="O44" s="472">
        <v>16551</v>
      </c>
      <c r="P44" s="472">
        <v>9437</v>
      </c>
      <c r="Q44" s="472">
        <v>9391</v>
      </c>
      <c r="R44" s="472">
        <v>286</v>
      </c>
      <c r="S44" s="472">
        <v>280</v>
      </c>
      <c r="T44" s="472">
        <f t="shared" si="19"/>
        <v>45.345205479452055</v>
      </c>
      <c r="U44" s="472">
        <f t="shared" si="20"/>
        <v>848.66468842729967</v>
      </c>
      <c r="V44" s="472">
        <f t="shared" si="20"/>
        <v>31111.111111111109</v>
      </c>
      <c r="W44" s="472">
        <f t="shared" si="21"/>
        <v>5038.356164383561</v>
      </c>
      <c r="X44" s="2136">
        <f t="shared" si="22"/>
        <v>0.57017702857833363</v>
      </c>
      <c r="Y44" s="2136">
        <f t="shared" si="23"/>
        <v>0.56739774031780554</v>
      </c>
      <c r="Z44" s="2136">
        <f t="shared" si="24"/>
        <v>0.16194716242661447</v>
      </c>
      <c r="AA44" s="477" t="s">
        <v>689</v>
      </c>
      <c r="AB44" s="472">
        <v>2000</v>
      </c>
    </row>
    <row r="45" spans="1:28" s="461" customFormat="1" ht="11.25" customHeight="1">
      <c r="A45" s="948"/>
      <c r="B45" s="472">
        <v>35</v>
      </c>
      <c r="C45" s="472" t="s">
        <v>384</v>
      </c>
      <c r="D45" s="472" t="s">
        <v>1105</v>
      </c>
      <c r="E45" s="472" t="s">
        <v>1070</v>
      </c>
      <c r="F45" s="533" t="s">
        <v>1171</v>
      </c>
      <c r="G45" s="498">
        <v>29</v>
      </c>
      <c r="H45" s="498">
        <v>3</v>
      </c>
      <c r="I45" s="498">
        <v>27</v>
      </c>
      <c r="J45" s="472">
        <v>1224</v>
      </c>
      <c r="K45" s="472">
        <v>54</v>
      </c>
      <c r="L45" s="472">
        <v>54</v>
      </c>
      <c r="M45" s="2135">
        <f t="shared" si="18"/>
        <v>1</v>
      </c>
      <c r="N45" s="472">
        <v>35</v>
      </c>
      <c r="O45" s="472">
        <v>114243</v>
      </c>
      <c r="P45" s="472">
        <v>16274</v>
      </c>
      <c r="Q45" s="472">
        <v>16274</v>
      </c>
      <c r="R45" s="472">
        <v>549</v>
      </c>
      <c r="S45" s="472">
        <v>407</v>
      </c>
      <c r="T45" s="472">
        <f t="shared" si="19"/>
        <v>312.99452054794523</v>
      </c>
      <c r="U45" s="472">
        <f t="shared" si="20"/>
        <v>448.52941176470591</v>
      </c>
      <c r="V45" s="472">
        <f t="shared" si="20"/>
        <v>7537.0370370370374</v>
      </c>
      <c r="W45" s="472">
        <f t="shared" si="21"/>
        <v>5796.1948249619481</v>
      </c>
      <c r="X45" s="2136">
        <f t="shared" si="22"/>
        <v>0.14245074096443547</v>
      </c>
      <c r="Y45" s="2136">
        <f t="shared" si="23"/>
        <v>0.14245074096443547</v>
      </c>
      <c r="Z45" s="2136">
        <f t="shared" si="24"/>
        <v>0.76902830601460748</v>
      </c>
      <c r="AA45" s="477" t="s">
        <v>689</v>
      </c>
      <c r="AB45" s="472">
        <v>2200</v>
      </c>
    </row>
    <row r="46" spans="1:28" s="461" customFormat="1" ht="11.25" customHeight="1">
      <c r="A46" s="948"/>
      <c r="B46" s="488">
        <v>36</v>
      </c>
      <c r="C46" s="472" t="s">
        <v>384</v>
      </c>
      <c r="D46" s="472" t="s">
        <v>1106</v>
      </c>
      <c r="E46" s="472" t="s">
        <v>1070</v>
      </c>
      <c r="F46" s="474" t="s">
        <v>1171</v>
      </c>
      <c r="G46" s="498">
        <v>31</v>
      </c>
      <c r="H46" s="498">
        <v>3</v>
      </c>
      <c r="I46" s="498">
        <v>18</v>
      </c>
      <c r="J46" s="472">
        <v>1615</v>
      </c>
      <c r="K46" s="472">
        <v>67</v>
      </c>
      <c r="L46" s="472">
        <v>67</v>
      </c>
      <c r="M46" s="2135">
        <f t="shared" si="18"/>
        <v>1</v>
      </c>
      <c r="N46" s="488">
        <v>36</v>
      </c>
      <c r="O46" s="472">
        <v>28690</v>
      </c>
      <c r="P46" s="472">
        <v>28690</v>
      </c>
      <c r="Q46" s="472">
        <v>28690</v>
      </c>
      <c r="R46" s="472">
        <v>303</v>
      </c>
      <c r="S46" s="472">
        <v>226</v>
      </c>
      <c r="T46" s="472">
        <f t="shared" si="19"/>
        <v>78.602739726027394</v>
      </c>
      <c r="U46" s="472">
        <f t="shared" si="20"/>
        <v>187.61609907120743</v>
      </c>
      <c r="V46" s="472">
        <f t="shared" si="20"/>
        <v>3373.1343283582091</v>
      </c>
      <c r="W46" s="472">
        <f t="shared" si="21"/>
        <v>1173.1752197914536</v>
      </c>
      <c r="X46" s="2136">
        <f t="shared" si="22"/>
        <v>1</v>
      </c>
      <c r="Y46" s="2136">
        <f t="shared" si="23"/>
        <v>1</v>
      </c>
      <c r="Z46" s="2136">
        <f t="shared" si="24"/>
        <v>0.34779973330100616</v>
      </c>
      <c r="AA46" s="483" t="s">
        <v>710</v>
      </c>
      <c r="AB46" s="482">
        <v>3016</v>
      </c>
    </row>
    <row r="47" spans="1:28" s="461" customFormat="1" ht="11.25" customHeight="1">
      <c r="A47" s="948"/>
      <c r="B47" s="472">
        <v>37</v>
      </c>
      <c r="C47" s="472" t="s">
        <v>384</v>
      </c>
      <c r="D47" s="472" t="s">
        <v>1107</v>
      </c>
      <c r="E47" s="472" t="s">
        <v>1070</v>
      </c>
      <c r="F47" s="477" t="s">
        <v>1101</v>
      </c>
      <c r="G47" s="498">
        <v>3</v>
      </c>
      <c r="H47" s="498">
        <v>3</v>
      </c>
      <c r="I47" s="498">
        <v>31</v>
      </c>
      <c r="J47" s="472">
        <v>340</v>
      </c>
      <c r="K47" s="472">
        <v>173</v>
      </c>
      <c r="L47" s="472">
        <v>173</v>
      </c>
      <c r="M47" s="2135">
        <f t="shared" si="18"/>
        <v>1</v>
      </c>
      <c r="N47" s="472">
        <v>37</v>
      </c>
      <c r="O47" s="472">
        <v>378000</v>
      </c>
      <c r="P47" s="472">
        <v>179000</v>
      </c>
      <c r="Q47" s="472">
        <v>170000</v>
      </c>
      <c r="R47" s="472">
        <v>3060</v>
      </c>
      <c r="S47" s="472">
        <v>1800</v>
      </c>
      <c r="T47" s="472">
        <f t="shared" si="19"/>
        <v>1035.6164383561643</v>
      </c>
      <c r="U47" s="472">
        <f t="shared" si="20"/>
        <v>9000</v>
      </c>
      <c r="V47" s="472">
        <f t="shared" si="20"/>
        <v>10404.624277456647</v>
      </c>
      <c r="W47" s="472">
        <f t="shared" si="21"/>
        <v>5986.2221870298517</v>
      </c>
      <c r="X47" s="2136">
        <f t="shared" si="22"/>
        <v>0.47354497354497355</v>
      </c>
      <c r="Y47" s="2136">
        <f t="shared" si="23"/>
        <v>0.44973544973544971</v>
      </c>
      <c r="Z47" s="2136">
        <f t="shared" si="24"/>
        <v>0.57534246575342463</v>
      </c>
      <c r="AA47" s="477" t="s">
        <v>689</v>
      </c>
      <c r="AB47" s="472">
        <v>1620</v>
      </c>
    </row>
    <row r="48" spans="1:28" s="461" customFormat="1" ht="11.25" customHeight="1">
      <c r="A48" s="948"/>
      <c r="B48" s="488">
        <v>38</v>
      </c>
      <c r="C48" s="472" t="s">
        <v>384</v>
      </c>
      <c r="D48" s="472" t="s">
        <v>1108</v>
      </c>
      <c r="E48" s="472" t="s">
        <v>1070</v>
      </c>
      <c r="F48" s="477" t="s">
        <v>1101</v>
      </c>
      <c r="G48" s="498">
        <v>3</v>
      </c>
      <c r="H48" s="498">
        <v>3</v>
      </c>
      <c r="I48" s="498">
        <v>25</v>
      </c>
      <c r="J48" s="472">
        <v>950</v>
      </c>
      <c r="K48" s="472">
        <v>80</v>
      </c>
      <c r="L48" s="472">
        <v>80</v>
      </c>
      <c r="M48" s="2135">
        <f t="shared" si="18"/>
        <v>1</v>
      </c>
      <c r="N48" s="488">
        <v>38</v>
      </c>
      <c r="O48" s="472">
        <v>53220</v>
      </c>
      <c r="P48" s="472">
        <v>50220</v>
      </c>
      <c r="Q48" s="472">
        <v>50220</v>
      </c>
      <c r="R48" s="472">
        <v>323</v>
      </c>
      <c r="S48" s="472">
        <v>323</v>
      </c>
      <c r="T48" s="472">
        <f t="shared" si="19"/>
        <v>145.8082191780822</v>
      </c>
      <c r="U48" s="472">
        <f t="shared" si="20"/>
        <v>340</v>
      </c>
      <c r="V48" s="472">
        <f t="shared" si="20"/>
        <v>4037.4999999999995</v>
      </c>
      <c r="W48" s="472">
        <f t="shared" si="21"/>
        <v>1822.6027397260273</v>
      </c>
      <c r="X48" s="2136">
        <f t="shared" si="22"/>
        <v>0.943630214205186</v>
      </c>
      <c r="Y48" s="2136">
        <f t="shared" si="23"/>
        <v>0.943630214205186</v>
      </c>
      <c r="Z48" s="2136">
        <f t="shared" si="24"/>
        <v>0.45141863522626069</v>
      </c>
      <c r="AA48" s="477" t="s">
        <v>1080</v>
      </c>
      <c r="AB48" s="472">
        <v>1932</v>
      </c>
    </row>
    <row r="49" spans="1:28" s="461" customFormat="1" ht="11.25" customHeight="1">
      <c r="A49" s="948"/>
      <c r="B49" s="472">
        <v>39</v>
      </c>
      <c r="C49" s="472" t="s">
        <v>384</v>
      </c>
      <c r="D49" s="472" t="s">
        <v>1109</v>
      </c>
      <c r="E49" s="472" t="s">
        <v>1070</v>
      </c>
      <c r="F49" s="477" t="s">
        <v>1171</v>
      </c>
      <c r="G49" s="498">
        <v>28</v>
      </c>
      <c r="H49" s="498">
        <v>3</v>
      </c>
      <c r="I49" s="498">
        <v>31</v>
      </c>
      <c r="J49" s="472">
        <v>120</v>
      </c>
      <c r="K49" s="472">
        <v>120</v>
      </c>
      <c r="L49" s="472">
        <v>120</v>
      </c>
      <c r="M49" s="2135">
        <f t="shared" si="18"/>
        <v>1</v>
      </c>
      <c r="N49" s="472">
        <v>39</v>
      </c>
      <c r="O49" s="472">
        <v>7592</v>
      </c>
      <c r="P49" s="472">
        <v>6935</v>
      </c>
      <c r="Q49" s="472">
        <v>6570</v>
      </c>
      <c r="R49" s="472">
        <v>30</v>
      </c>
      <c r="S49" s="472">
        <v>37</v>
      </c>
      <c r="T49" s="472">
        <f t="shared" si="19"/>
        <v>20.8</v>
      </c>
      <c r="U49" s="472">
        <f t="shared" si="20"/>
        <v>250</v>
      </c>
      <c r="V49" s="472">
        <f t="shared" si="20"/>
        <v>308.33333333333337</v>
      </c>
      <c r="W49" s="472">
        <f t="shared" si="21"/>
        <v>173.33333333333334</v>
      </c>
      <c r="X49" s="2136">
        <f t="shared" si="22"/>
        <v>0.91346153846153844</v>
      </c>
      <c r="Y49" s="2136">
        <f t="shared" si="23"/>
        <v>0.86538461538461542</v>
      </c>
      <c r="Z49" s="2136">
        <f t="shared" si="24"/>
        <v>0.56216216216216219</v>
      </c>
      <c r="AA49" s="477" t="s">
        <v>1057</v>
      </c>
      <c r="AB49" s="472">
        <v>2000</v>
      </c>
    </row>
    <row r="50" spans="1:28" s="461" customFormat="1" ht="11.25" customHeight="1">
      <c r="A50" s="948"/>
      <c r="B50" s="488">
        <v>40</v>
      </c>
      <c r="C50" s="472" t="s">
        <v>384</v>
      </c>
      <c r="D50" s="472" t="s">
        <v>1110</v>
      </c>
      <c r="E50" s="472" t="s">
        <v>1060</v>
      </c>
      <c r="F50" s="477" t="s">
        <v>1171</v>
      </c>
      <c r="G50" s="498">
        <v>31</v>
      </c>
      <c r="H50" s="498">
        <v>3</v>
      </c>
      <c r="I50" s="498">
        <v>15</v>
      </c>
      <c r="J50" s="472">
        <v>350</v>
      </c>
      <c r="K50" s="472">
        <v>63</v>
      </c>
      <c r="L50" s="472">
        <v>63</v>
      </c>
      <c r="M50" s="2135">
        <f t="shared" si="18"/>
        <v>1</v>
      </c>
      <c r="N50" s="488">
        <v>40</v>
      </c>
      <c r="O50" s="472">
        <v>26171</v>
      </c>
      <c r="P50" s="472">
        <v>26171</v>
      </c>
      <c r="Q50" s="472">
        <v>26171</v>
      </c>
      <c r="R50" s="472">
        <v>120</v>
      </c>
      <c r="S50" s="472">
        <v>144</v>
      </c>
      <c r="T50" s="472">
        <f t="shared" si="19"/>
        <v>71.701369863013696</v>
      </c>
      <c r="U50" s="472">
        <f t="shared" si="20"/>
        <v>342.85714285714283</v>
      </c>
      <c r="V50" s="472">
        <f t="shared" si="20"/>
        <v>2285.7142857142858</v>
      </c>
      <c r="W50" s="472">
        <f t="shared" si="21"/>
        <v>1138.1169819525983</v>
      </c>
      <c r="X50" s="2136">
        <f t="shared" si="22"/>
        <v>1</v>
      </c>
      <c r="Y50" s="2136">
        <f t="shared" si="23"/>
        <v>1</v>
      </c>
      <c r="Z50" s="2136">
        <f t="shared" si="24"/>
        <v>0.49792617960426178</v>
      </c>
      <c r="AA50" s="477" t="s">
        <v>1057</v>
      </c>
      <c r="AB50" s="472">
        <v>1666</v>
      </c>
    </row>
    <row r="51" spans="1:28" s="461" customFormat="1" ht="11.25" customHeight="1">
      <c r="A51" s="948"/>
      <c r="B51" s="478">
        <v>41</v>
      </c>
      <c r="C51" s="478" t="s">
        <v>384</v>
      </c>
      <c r="D51" s="478" t="s">
        <v>1111</v>
      </c>
      <c r="E51" s="478" t="s">
        <v>1060</v>
      </c>
      <c r="F51" s="479" t="s">
        <v>1101</v>
      </c>
      <c r="G51" s="480">
        <v>3</v>
      </c>
      <c r="H51" s="480">
        <v>3</v>
      </c>
      <c r="I51" s="480">
        <v>10</v>
      </c>
      <c r="J51" s="478">
        <v>430</v>
      </c>
      <c r="K51" s="478">
        <v>30</v>
      </c>
      <c r="L51" s="478">
        <v>30</v>
      </c>
      <c r="M51" s="2125">
        <f t="shared" si="18"/>
        <v>1</v>
      </c>
      <c r="N51" s="478">
        <v>41</v>
      </c>
      <c r="O51" s="478">
        <v>27375</v>
      </c>
      <c r="P51" s="478">
        <v>17343</v>
      </c>
      <c r="Q51" s="478">
        <v>16580</v>
      </c>
      <c r="R51" s="478">
        <v>135</v>
      </c>
      <c r="S51" s="478">
        <v>135</v>
      </c>
      <c r="T51" s="478">
        <f t="shared" si="19"/>
        <v>75</v>
      </c>
      <c r="U51" s="478">
        <f t="shared" si="20"/>
        <v>313.95348837209303</v>
      </c>
      <c r="V51" s="478">
        <f t="shared" si="20"/>
        <v>4500</v>
      </c>
      <c r="W51" s="478">
        <f t="shared" si="21"/>
        <v>2500</v>
      </c>
      <c r="X51" s="2126">
        <f t="shared" si="22"/>
        <v>0.63353424657534252</v>
      </c>
      <c r="Y51" s="2126">
        <f t="shared" si="23"/>
        <v>0.60566210045662106</v>
      </c>
      <c r="Z51" s="2126">
        <f t="shared" si="24"/>
        <v>0.55555555555555558</v>
      </c>
      <c r="AA51" s="479" t="s">
        <v>1057</v>
      </c>
      <c r="AB51" s="478">
        <v>2000</v>
      </c>
    </row>
    <row r="52" spans="1:28" s="461" customFormat="1" ht="11.25" customHeight="1" thickBot="1">
      <c r="A52" s="948"/>
      <c r="B52" s="488">
        <v>42</v>
      </c>
      <c r="C52" s="528" t="s">
        <v>1112</v>
      </c>
      <c r="D52" s="528" t="s">
        <v>1113</v>
      </c>
      <c r="E52" s="528" t="s">
        <v>1070</v>
      </c>
      <c r="F52" s="534" t="s">
        <v>1101</v>
      </c>
      <c r="G52" s="529">
        <v>3</v>
      </c>
      <c r="H52" s="529">
        <v>3</v>
      </c>
      <c r="I52" s="529">
        <v>19</v>
      </c>
      <c r="J52" s="528">
        <v>714</v>
      </c>
      <c r="K52" s="528">
        <v>108</v>
      </c>
      <c r="L52" s="528">
        <v>108</v>
      </c>
      <c r="M52" s="2139">
        <f t="shared" si="18"/>
        <v>1</v>
      </c>
      <c r="N52" s="488">
        <v>42</v>
      </c>
      <c r="O52" s="528">
        <v>37352</v>
      </c>
      <c r="P52" s="528">
        <v>23902</v>
      </c>
      <c r="Q52" s="528">
        <v>23902</v>
      </c>
      <c r="R52" s="528">
        <v>241</v>
      </c>
      <c r="S52" s="528">
        <v>228</v>
      </c>
      <c r="T52" s="528">
        <f t="shared" si="19"/>
        <v>102.33424657534246</v>
      </c>
      <c r="U52" s="528">
        <f t="shared" si="20"/>
        <v>337.53501400560225</v>
      </c>
      <c r="V52" s="528">
        <f t="shared" si="20"/>
        <v>2111.1111111111113</v>
      </c>
      <c r="W52" s="528">
        <f t="shared" si="21"/>
        <v>947.53932014205986</v>
      </c>
      <c r="X52" s="2140">
        <f t="shared" si="22"/>
        <v>0.63991218676376094</v>
      </c>
      <c r="Y52" s="2140">
        <f t="shared" si="23"/>
        <v>0.63991218676376094</v>
      </c>
      <c r="Z52" s="2140">
        <f t="shared" si="24"/>
        <v>0.44883441480413361</v>
      </c>
      <c r="AA52" s="534" t="s">
        <v>1080</v>
      </c>
      <c r="AB52" s="528">
        <v>1800</v>
      </c>
    </row>
    <row r="53" spans="1:28" s="461" customFormat="1" ht="11.25" customHeight="1" thickTop="1">
      <c r="A53" s="948"/>
      <c r="B53" s="502"/>
      <c r="C53" s="503"/>
      <c r="D53" s="503" t="s">
        <v>34</v>
      </c>
      <c r="E53" s="504"/>
      <c r="F53" s="505"/>
      <c r="G53" s="504"/>
      <c r="H53" s="504"/>
      <c r="I53" s="504"/>
      <c r="J53" s="530">
        <f>SUM(J39:J52)</f>
        <v>9919</v>
      </c>
      <c r="K53" s="530">
        <f>SUM(K39:K52)</f>
        <v>1140</v>
      </c>
      <c r="L53" s="530">
        <f>SUM(L39:L52)</f>
        <v>1141</v>
      </c>
      <c r="M53" s="531">
        <f t="shared" si="18"/>
        <v>0.99912357581069233</v>
      </c>
      <c r="N53" s="506"/>
      <c r="O53" s="530">
        <f t="shared" ref="O53:T53" si="25">SUM(O39:O52)</f>
        <v>939462</v>
      </c>
      <c r="P53" s="530">
        <f t="shared" si="25"/>
        <v>596660</v>
      </c>
      <c r="Q53" s="530">
        <f t="shared" si="25"/>
        <v>571286</v>
      </c>
      <c r="R53" s="530">
        <f t="shared" si="25"/>
        <v>6412</v>
      </c>
      <c r="S53" s="530">
        <f t="shared" si="25"/>
        <v>5395</v>
      </c>
      <c r="T53" s="530">
        <f t="shared" si="25"/>
        <v>2573.868493150685</v>
      </c>
      <c r="U53" s="530">
        <f t="shared" si="20"/>
        <v>646.4361326746648</v>
      </c>
      <c r="V53" s="530">
        <f t="shared" si="20"/>
        <v>4732.4561403508778</v>
      </c>
      <c r="W53" s="530">
        <f t="shared" si="21"/>
        <v>2257.7793799567412</v>
      </c>
      <c r="X53" s="2141">
        <f t="shared" si="22"/>
        <v>0.6351081789364551</v>
      </c>
      <c r="Y53" s="2141">
        <f t="shared" si="23"/>
        <v>0.60809910352946683</v>
      </c>
      <c r="Z53" s="2141">
        <f t="shared" si="24"/>
        <v>0.47708405804461262</v>
      </c>
      <c r="AA53" s="507" t="s">
        <v>1094</v>
      </c>
      <c r="AB53" s="508">
        <f>AVERAGE(AB39:AB52)</f>
        <v>2046.1428571428571</v>
      </c>
    </row>
    <row r="54" spans="1:28" s="461" customFormat="1" ht="11.25" customHeight="1">
      <c r="A54" s="949"/>
      <c r="B54" s="509"/>
      <c r="C54" s="510"/>
      <c r="D54" s="510"/>
      <c r="E54" s="511"/>
      <c r="F54" s="512"/>
      <c r="G54" s="511"/>
      <c r="H54" s="511"/>
      <c r="I54" s="511"/>
      <c r="J54" s="511"/>
      <c r="K54" s="511"/>
      <c r="L54" s="511"/>
      <c r="M54" s="513"/>
      <c r="N54" s="514"/>
      <c r="O54" s="511"/>
      <c r="P54" s="511"/>
      <c r="Q54" s="511"/>
      <c r="R54" s="511"/>
      <c r="S54" s="511"/>
      <c r="T54" s="511"/>
      <c r="U54" s="511"/>
      <c r="V54" s="511"/>
      <c r="W54" s="511"/>
      <c r="X54" s="515"/>
      <c r="Y54" s="515"/>
      <c r="Z54" s="515"/>
      <c r="AA54" s="516"/>
      <c r="AB54" s="511"/>
    </row>
    <row r="55" spans="1:28" s="461" customFormat="1" ht="11.25" customHeight="1">
      <c r="A55" s="947" t="s">
        <v>1114</v>
      </c>
      <c r="B55" s="517">
        <v>43</v>
      </c>
      <c r="C55" s="517" t="s">
        <v>388</v>
      </c>
      <c r="D55" s="482" t="s">
        <v>1115</v>
      </c>
      <c r="E55" s="482" t="s">
        <v>1056</v>
      </c>
      <c r="F55" s="483" t="s">
        <v>1171</v>
      </c>
      <c r="G55" s="484">
        <v>1</v>
      </c>
      <c r="H55" s="484">
        <v>6</v>
      </c>
      <c r="I55" s="484">
        <v>30</v>
      </c>
      <c r="J55" s="482">
        <v>320</v>
      </c>
      <c r="K55" s="482">
        <v>221</v>
      </c>
      <c r="L55" s="482">
        <v>221</v>
      </c>
      <c r="M55" s="2127">
        <f t="shared" ref="M55:M75" si="26">K55/L55</f>
        <v>1</v>
      </c>
      <c r="N55" s="482">
        <v>43</v>
      </c>
      <c r="O55" s="482">
        <v>15655</v>
      </c>
      <c r="P55" s="482">
        <v>13343</v>
      </c>
      <c r="Q55" s="482">
        <v>13194</v>
      </c>
      <c r="R55" s="482">
        <v>80</v>
      </c>
      <c r="S55" s="482">
        <v>59</v>
      </c>
      <c r="T55" s="482">
        <f t="shared" ref="T55:T74" si="27">O55/365</f>
        <v>42.890410958904113</v>
      </c>
      <c r="U55" s="482">
        <f t="shared" ref="U55:V74" si="28">(R55/J55)*1000</f>
        <v>250</v>
      </c>
      <c r="V55" s="482">
        <f t="shared" si="28"/>
        <v>266.96832579185519</v>
      </c>
      <c r="W55" s="482">
        <f t="shared" ref="W55:W75" si="29">(T55/K55)*1000</f>
        <v>194.0742577325978</v>
      </c>
      <c r="X55" s="2128">
        <f t="shared" ref="X55:X75" si="30">P55/O55</f>
        <v>0.85231555413605875</v>
      </c>
      <c r="Y55" s="2128">
        <f t="shared" ref="Y55:Y75" si="31">Q55/O55</f>
        <v>0.84279782816991378</v>
      </c>
      <c r="Z55" s="2128">
        <f t="shared" ref="Z55:Z75" si="32">T55/S55</f>
        <v>0.72695611794752735</v>
      </c>
      <c r="AA55" s="483" t="s">
        <v>689</v>
      </c>
      <c r="AB55" s="517">
        <v>1991</v>
      </c>
    </row>
    <row r="56" spans="1:28" s="461" customFormat="1" ht="11.25" customHeight="1">
      <c r="A56" s="948"/>
      <c r="B56" s="518">
        <v>44</v>
      </c>
      <c r="C56" s="518" t="s">
        <v>388</v>
      </c>
      <c r="D56" s="472" t="s">
        <v>1116</v>
      </c>
      <c r="E56" s="472" t="s">
        <v>1056</v>
      </c>
      <c r="F56" s="477" t="s">
        <v>1171</v>
      </c>
      <c r="G56" s="498">
        <v>1</v>
      </c>
      <c r="H56" s="498">
        <v>6</v>
      </c>
      <c r="I56" s="498">
        <v>1</v>
      </c>
      <c r="J56" s="472">
        <v>140</v>
      </c>
      <c r="K56" s="472">
        <v>88</v>
      </c>
      <c r="L56" s="472">
        <v>88</v>
      </c>
      <c r="M56" s="2135">
        <f t="shared" si="26"/>
        <v>1</v>
      </c>
      <c r="N56" s="472">
        <v>44</v>
      </c>
      <c r="O56" s="472">
        <v>11072</v>
      </c>
      <c r="P56" s="472">
        <v>9624</v>
      </c>
      <c r="Q56" s="472">
        <v>9417</v>
      </c>
      <c r="R56" s="472">
        <v>35</v>
      </c>
      <c r="S56" s="472">
        <v>34</v>
      </c>
      <c r="T56" s="472">
        <f t="shared" si="27"/>
        <v>30.334246575342465</v>
      </c>
      <c r="U56" s="472">
        <f t="shared" si="28"/>
        <v>250</v>
      </c>
      <c r="V56" s="472">
        <f t="shared" si="28"/>
        <v>386.36363636363637</v>
      </c>
      <c r="W56" s="472">
        <f t="shared" si="29"/>
        <v>344.70734744707346</v>
      </c>
      <c r="X56" s="2136">
        <f t="shared" si="30"/>
        <v>0.8692196531791907</v>
      </c>
      <c r="Y56" s="2136">
        <f t="shared" si="31"/>
        <v>0.85052384393063585</v>
      </c>
      <c r="Z56" s="2136">
        <f t="shared" si="32"/>
        <v>0.89218372280419012</v>
      </c>
      <c r="AA56" s="477" t="s">
        <v>689</v>
      </c>
      <c r="AB56" s="518">
        <v>1991</v>
      </c>
    </row>
    <row r="57" spans="1:28" s="461" customFormat="1" ht="11.25" customHeight="1">
      <c r="A57" s="948"/>
      <c r="B57" s="517">
        <v>45</v>
      </c>
      <c r="C57" s="518" t="s">
        <v>388</v>
      </c>
      <c r="D57" s="472" t="s">
        <v>1117</v>
      </c>
      <c r="E57" s="472" t="s">
        <v>1060</v>
      </c>
      <c r="F57" s="477" t="s">
        <v>1180</v>
      </c>
      <c r="G57" s="498">
        <v>23</v>
      </c>
      <c r="H57" s="498">
        <v>12</v>
      </c>
      <c r="I57" s="498">
        <v>1</v>
      </c>
      <c r="J57" s="472">
        <v>300</v>
      </c>
      <c r="K57" s="472">
        <v>230</v>
      </c>
      <c r="L57" s="472">
        <v>270</v>
      </c>
      <c r="M57" s="2135">
        <f t="shared" si="26"/>
        <v>0.85185185185185186</v>
      </c>
      <c r="N57" s="482">
        <v>45</v>
      </c>
      <c r="O57" s="472">
        <v>18600</v>
      </c>
      <c r="P57" s="472">
        <v>13690</v>
      </c>
      <c r="Q57" s="472">
        <v>12750</v>
      </c>
      <c r="R57" s="472">
        <v>80</v>
      </c>
      <c r="S57" s="472">
        <v>75</v>
      </c>
      <c r="T57" s="472">
        <f t="shared" si="27"/>
        <v>50.958904109589042</v>
      </c>
      <c r="U57" s="472">
        <f t="shared" si="28"/>
        <v>266.66666666666669</v>
      </c>
      <c r="V57" s="472">
        <f t="shared" si="28"/>
        <v>326.08695652173913</v>
      </c>
      <c r="W57" s="472">
        <f t="shared" si="29"/>
        <v>221.56045265038716</v>
      </c>
      <c r="X57" s="2136">
        <f t="shared" si="30"/>
        <v>0.73602150537634403</v>
      </c>
      <c r="Y57" s="2136">
        <f t="shared" si="31"/>
        <v>0.68548387096774188</v>
      </c>
      <c r="Z57" s="2136">
        <f t="shared" si="32"/>
        <v>0.67945205479452053</v>
      </c>
      <c r="AA57" s="477" t="s">
        <v>710</v>
      </c>
      <c r="AB57" s="518">
        <v>100</v>
      </c>
    </row>
    <row r="58" spans="1:28" s="461" customFormat="1" ht="11.25" customHeight="1">
      <c r="A58" s="948"/>
      <c r="B58" s="518">
        <v>46</v>
      </c>
      <c r="C58" s="518" t="s">
        <v>388</v>
      </c>
      <c r="D58" s="472" t="s">
        <v>1118</v>
      </c>
      <c r="E58" s="472" t="s">
        <v>1056</v>
      </c>
      <c r="F58" s="477" t="s">
        <v>1171</v>
      </c>
      <c r="G58" s="498">
        <v>26</v>
      </c>
      <c r="H58" s="498">
        <v>2</v>
      </c>
      <c r="I58" s="498">
        <v>5</v>
      </c>
      <c r="J58" s="472">
        <v>1900</v>
      </c>
      <c r="K58" s="472">
        <v>1636</v>
      </c>
      <c r="L58" s="472">
        <v>1644</v>
      </c>
      <c r="M58" s="2135">
        <f t="shared" si="26"/>
        <v>0.99513381995133821</v>
      </c>
      <c r="N58" s="472">
        <v>46</v>
      </c>
      <c r="O58" s="472">
        <v>316151</v>
      </c>
      <c r="P58" s="472">
        <v>153789</v>
      </c>
      <c r="Q58" s="472">
        <v>150315</v>
      </c>
      <c r="R58" s="472">
        <v>1080</v>
      </c>
      <c r="S58" s="472">
        <v>894</v>
      </c>
      <c r="T58" s="472">
        <f t="shared" si="27"/>
        <v>866.16712328767119</v>
      </c>
      <c r="U58" s="472">
        <f t="shared" si="28"/>
        <v>568.42105263157896</v>
      </c>
      <c r="V58" s="472">
        <f t="shared" si="28"/>
        <v>546.45476772616144</v>
      </c>
      <c r="W58" s="472">
        <f t="shared" si="29"/>
        <v>529.4420068995546</v>
      </c>
      <c r="X58" s="2136">
        <f t="shared" si="30"/>
        <v>0.4864416054353774</v>
      </c>
      <c r="Y58" s="2136">
        <f t="shared" si="31"/>
        <v>0.47545318534497755</v>
      </c>
      <c r="Z58" s="2136">
        <f t="shared" si="32"/>
        <v>0.9688670282859857</v>
      </c>
      <c r="AA58" s="477" t="s">
        <v>689</v>
      </c>
      <c r="AB58" s="518">
        <v>1991</v>
      </c>
    </row>
    <row r="59" spans="1:28" s="461" customFormat="1" ht="11.25" customHeight="1">
      <c r="A59" s="948"/>
      <c r="B59" s="517">
        <v>47</v>
      </c>
      <c r="C59" s="518" t="s">
        <v>388</v>
      </c>
      <c r="D59" s="472" t="s">
        <v>1119</v>
      </c>
      <c r="E59" s="472" t="s">
        <v>1056</v>
      </c>
      <c r="F59" s="477" t="s">
        <v>1171</v>
      </c>
      <c r="G59" s="498">
        <v>27</v>
      </c>
      <c r="H59" s="498">
        <v>4</v>
      </c>
      <c r="I59" s="498">
        <v>28</v>
      </c>
      <c r="J59" s="472">
        <v>680</v>
      </c>
      <c r="K59" s="472">
        <v>542</v>
      </c>
      <c r="L59" s="472">
        <v>542</v>
      </c>
      <c r="M59" s="2135">
        <f t="shared" si="26"/>
        <v>1</v>
      </c>
      <c r="N59" s="482">
        <v>47</v>
      </c>
      <c r="O59" s="472">
        <v>89918</v>
      </c>
      <c r="P59" s="472">
        <v>46495</v>
      </c>
      <c r="Q59" s="472">
        <v>45740</v>
      </c>
      <c r="R59" s="472">
        <v>290</v>
      </c>
      <c r="S59" s="472">
        <v>288</v>
      </c>
      <c r="T59" s="472">
        <f t="shared" si="27"/>
        <v>246.35068493150686</v>
      </c>
      <c r="U59" s="472">
        <f t="shared" si="28"/>
        <v>426.47058823529409</v>
      </c>
      <c r="V59" s="472">
        <f t="shared" si="28"/>
        <v>531.36531365313658</v>
      </c>
      <c r="W59" s="472">
        <f t="shared" si="29"/>
        <v>454.52155891421933</v>
      </c>
      <c r="X59" s="2136">
        <f t="shared" si="30"/>
        <v>0.51708223047665647</v>
      </c>
      <c r="Y59" s="2136">
        <f t="shared" si="31"/>
        <v>0.50868569140772701</v>
      </c>
      <c r="Z59" s="2136">
        <f t="shared" si="32"/>
        <v>0.85538432267884323</v>
      </c>
      <c r="AA59" s="477" t="s">
        <v>689</v>
      </c>
      <c r="AB59" s="518">
        <v>1991</v>
      </c>
    </row>
    <row r="60" spans="1:28" s="461" customFormat="1" ht="11.25" customHeight="1">
      <c r="A60" s="948"/>
      <c r="B60" s="518">
        <v>48</v>
      </c>
      <c r="C60" s="518" t="s">
        <v>388</v>
      </c>
      <c r="D60" s="472" t="s">
        <v>1120</v>
      </c>
      <c r="E60" s="472" t="s">
        <v>1056</v>
      </c>
      <c r="F60" s="477" t="s">
        <v>1171</v>
      </c>
      <c r="G60" s="498">
        <v>9</v>
      </c>
      <c r="H60" s="498">
        <v>3</v>
      </c>
      <c r="I60" s="498">
        <v>31</v>
      </c>
      <c r="J60" s="472">
        <v>700</v>
      </c>
      <c r="K60" s="472">
        <v>399</v>
      </c>
      <c r="L60" s="472">
        <v>399</v>
      </c>
      <c r="M60" s="2135">
        <f t="shared" si="26"/>
        <v>1</v>
      </c>
      <c r="N60" s="472">
        <v>48</v>
      </c>
      <c r="O60" s="472">
        <v>81921</v>
      </c>
      <c r="P60" s="472">
        <v>31743</v>
      </c>
      <c r="Q60" s="472">
        <v>31713</v>
      </c>
      <c r="R60" s="472">
        <v>250</v>
      </c>
      <c r="S60" s="472">
        <v>311</v>
      </c>
      <c r="T60" s="472">
        <f t="shared" si="27"/>
        <v>224.44109589041096</v>
      </c>
      <c r="U60" s="472">
        <f t="shared" si="28"/>
        <v>357.14285714285717</v>
      </c>
      <c r="V60" s="472">
        <f t="shared" si="28"/>
        <v>779.44862155388478</v>
      </c>
      <c r="W60" s="472">
        <f t="shared" si="29"/>
        <v>562.50901225666905</v>
      </c>
      <c r="X60" s="2136">
        <f t="shared" si="30"/>
        <v>0.38748306295089169</v>
      </c>
      <c r="Y60" s="2136">
        <f t="shared" si="31"/>
        <v>0.38711685648368549</v>
      </c>
      <c r="Z60" s="2136">
        <f t="shared" si="32"/>
        <v>0.72167554948685197</v>
      </c>
      <c r="AA60" s="477" t="s">
        <v>689</v>
      </c>
      <c r="AB60" s="518">
        <v>1991</v>
      </c>
    </row>
    <row r="61" spans="1:28" s="461" customFormat="1" ht="11.25" customHeight="1">
      <c r="A61" s="948"/>
      <c r="B61" s="517">
        <v>49</v>
      </c>
      <c r="C61" s="518" t="s">
        <v>388</v>
      </c>
      <c r="D61" s="472" t="s">
        <v>1121</v>
      </c>
      <c r="E61" s="472" t="s">
        <v>1056</v>
      </c>
      <c r="F61" s="477" t="s">
        <v>1171</v>
      </c>
      <c r="G61" s="498">
        <v>8</v>
      </c>
      <c r="H61" s="498">
        <v>3</v>
      </c>
      <c r="I61" s="498">
        <v>29</v>
      </c>
      <c r="J61" s="472">
        <v>124</v>
      </c>
      <c r="K61" s="472">
        <v>55</v>
      </c>
      <c r="L61" s="472">
        <v>55</v>
      </c>
      <c r="M61" s="2135">
        <f t="shared" si="26"/>
        <v>1</v>
      </c>
      <c r="N61" s="482">
        <v>49</v>
      </c>
      <c r="O61" s="472">
        <v>5065</v>
      </c>
      <c r="P61" s="472">
        <v>3033</v>
      </c>
      <c r="Q61" s="472">
        <v>3031</v>
      </c>
      <c r="R61" s="472">
        <v>30</v>
      </c>
      <c r="S61" s="472">
        <v>15</v>
      </c>
      <c r="T61" s="472">
        <f t="shared" si="27"/>
        <v>13.876712328767123</v>
      </c>
      <c r="U61" s="472">
        <f t="shared" si="28"/>
        <v>241.93548387096774</v>
      </c>
      <c r="V61" s="472">
        <f t="shared" si="28"/>
        <v>272.72727272727269</v>
      </c>
      <c r="W61" s="472">
        <f t="shared" si="29"/>
        <v>252.30386052303859</v>
      </c>
      <c r="X61" s="2136">
        <f t="shared" si="30"/>
        <v>0.59881539980256659</v>
      </c>
      <c r="Y61" s="2136">
        <f t="shared" si="31"/>
        <v>0.5984205330700888</v>
      </c>
      <c r="Z61" s="2136">
        <f t="shared" si="32"/>
        <v>0.9251141552511416</v>
      </c>
      <c r="AA61" s="477" t="s">
        <v>689</v>
      </c>
      <c r="AB61" s="518">
        <v>1991</v>
      </c>
    </row>
    <row r="62" spans="1:28" s="461" customFormat="1" ht="11.25" customHeight="1">
      <c r="A62" s="948"/>
      <c r="B62" s="518">
        <v>50</v>
      </c>
      <c r="C62" s="518" t="s">
        <v>388</v>
      </c>
      <c r="D62" s="472" t="s">
        <v>1122</v>
      </c>
      <c r="E62" s="472" t="s">
        <v>1056</v>
      </c>
      <c r="F62" s="477" t="s">
        <v>1171</v>
      </c>
      <c r="G62" s="498">
        <v>27</v>
      </c>
      <c r="H62" s="498">
        <v>4</v>
      </c>
      <c r="I62" s="498">
        <v>28</v>
      </c>
      <c r="J62" s="472">
        <v>280</v>
      </c>
      <c r="K62" s="472">
        <v>205</v>
      </c>
      <c r="L62" s="472">
        <v>205</v>
      </c>
      <c r="M62" s="2135">
        <f t="shared" si="26"/>
        <v>1</v>
      </c>
      <c r="N62" s="472">
        <v>50</v>
      </c>
      <c r="O62" s="472">
        <v>22364</v>
      </c>
      <c r="P62" s="472">
        <v>20672</v>
      </c>
      <c r="Q62" s="472">
        <v>20096</v>
      </c>
      <c r="R62" s="472">
        <v>250</v>
      </c>
      <c r="S62" s="472">
        <v>132</v>
      </c>
      <c r="T62" s="472">
        <f t="shared" si="27"/>
        <v>61.271232876712325</v>
      </c>
      <c r="U62" s="472">
        <f t="shared" si="28"/>
        <v>892.85714285714289</v>
      </c>
      <c r="V62" s="472">
        <f t="shared" si="28"/>
        <v>643.90243902439022</v>
      </c>
      <c r="W62" s="472">
        <f t="shared" si="29"/>
        <v>298.88406281323086</v>
      </c>
      <c r="X62" s="2136">
        <f t="shared" si="30"/>
        <v>0.92434269361473798</v>
      </c>
      <c r="Y62" s="2136">
        <f t="shared" si="31"/>
        <v>0.89858701484528702</v>
      </c>
      <c r="Z62" s="2136">
        <f t="shared" si="32"/>
        <v>0.46417600664176006</v>
      </c>
      <c r="AA62" s="477" t="s">
        <v>689</v>
      </c>
      <c r="AB62" s="518">
        <v>1991</v>
      </c>
    </row>
    <row r="63" spans="1:28" s="461" customFormat="1" ht="11.25" customHeight="1">
      <c r="A63" s="948"/>
      <c r="B63" s="521">
        <v>51</v>
      </c>
      <c r="C63" s="521" t="s">
        <v>388</v>
      </c>
      <c r="D63" s="478" t="s">
        <v>1123</v>
      </c>
      <c r="E63" s="478" t="s">
        <v>1056</v>
      </c>
      <c r="F63" s="479" t="s">
        <v>1171</v>
      </c>
      <c r="G63" s="480">
        <v>27</v>
      </c>
      <c r="H63" s="480">
        <v>4</v>
      </c>
      <c r="I63" s="480">
        <v>28</v>
      </c>
      <c r="J63" s="478">
        <v>200</v>
      </c>
      <c r="K63" s="478">
        <v>171</v>
      </c>
      <c r="L63" s="478">
        <v>171</v>
      </c>
      <c r="M63" s="2125">
        <f t="shared" si="26"/>
        <v>1</v>
      </c>
      <c r="N63" s="478">
        <v>51</v>
      </c>
      <c r="O63" s="478">
        <v>70927</v>
      </c>
      <c r="P63" s="478">
        <v>35662</v>
      </c>
      <c r="Q63" s="478">
        <v>13184</v>
      </c>
      <c r="R63" s="478">
        <v>230</v>
      </c>
      <c r="S63" s="478">
        <v>228</v>
      </c>
      <c r="T63" s="478">
        <f t="shared" si="27"/>
        <v>194.32054794520548</v>
      </c>
      <c r="U63" s="478">
        <f t="shared" si="28"/>
        <v>1150</v>
      </c>
      <c r="V63" s="478">
        <f t="shared" si="28"/>
        <v>1333.3333333333333</v>
      </c>
      <c r="W63" s="478">
        <f t="shared" si="29"/>
        <v>1136.3774733637749</v>
      </c>
      <c r="X63" s="2126">
        <f t="shared" si="30"/>
        <v>0.50279865213529407</v>
      </c>
      <c r="Y63" s="2126">
        <f t="shared" si="31"/>
        <v>0.18588125819504561</v>
      </c>
      <c r="Z63" s="2126">
        <f t="shared" si="32"/>
        <v>0.852283105022831</v>
      </c>
      <c r="AA63" s="479" t="s">
        <v>689</v>
      </c>
      <c r="AB63" s="521">
        <v>1991</v>
      </c>
    </row>
    <row r="64" spans="1:28" s="461" customFormat="1" ht="11.25" customHeight="1">
      <c r="A64" s="948"/>
      <c r="B64" s="517">
        <v>52</v>
      </c>
      <c r="C64" s="517" t="s">
        <v>392</v>
      </c>
      <c r="D64" s="482" t="s">
        <v>1124</v>
      </c>
      <c r="E64" s="482" t="s">
        <v>1063</v>
      </c>
      <c r="F64" s="483" t="s">
        <v>1171</v>
      </c>
      <c r="G64" s="484">
        <v>18</v>
      </c>
      <c r="H64" s="484">
        <v>4</v>
      </c>
      <c r="I64" s="484">
        <v>7</v>
      </c>
      <c r="J64" s="482">
        <v>101</v>
      </c>
      <c r="K64" s="482">
        <v>58</v>
      </c>
      <c r="L64" s="482">
        <v>58</v>
      </c>
      <c r="M64" s="2127">
        <f t="shared" si="26"/>
        <v>1</v>
      </c>
      <c r="N64" s="482">
        <v>52</v>
      </c>
      <c r="O64" s="482">
        <v>18210</v>
      </c>
      <c r="P64" s="482">
        <v>6857</v>
      </c>
      <c r="Q64" s="482">
        <v>6857</v>
      </c>
      <c r="R64" s="482">
        <v>51</v>
      </c>
      <c r="S64" s="482">
        <v>116</v>
      </c>
      <c r="T64" s="482">
        <f t="shared" si="27"/>
        <v>49.890410958904113</v>
      </c>
      <c r="U64" s="482">
        <f t="shared" si="28"/>
        <v>504.95049504950498</v>
      </c>
      <c r="V64" s="482">
        <f t="shared" si="28"/>
        <v>2000</v>
      </c>
      <c r="W64" s="482">
        <f t="shared" si="29"/>
        <v>860.17949929145016</v>
      </c>
      <c r="X64" s="2128">
        <f t="shared" si="30"/>
        <v>0.37655134541460739</v>
      </c>
      <c r="Y64" s="2128">
        <f t="shared" si="31"/>
        <v>0.37655134541460739</v>
      </c>
      <c r="Z64" s="2128">
        <f t="shared" si="32"/>
        <v>0.43008974964572511</v>
      </c>
      <c r="AA64" s="483" t="s">
        <v>689</v>
      </c>
      <c r="AB64" s="517">
        <v>1390</v>
      </c>
    </row>
    <row r="65" spans="1:28" s="461" customFormat="1" ht="11.25" customHeight="1">
      <c r="A65" s="948"/>
      <c r="B65" s="517">
        <v>53</v>
      </c>
      <c r="C65" s="518" t="s">
        <v>392</v>
      </c>
      <c r="D65" s="472" t="s">
        <v>1125</v>
      </c>
      <c r="E65" s="472" t="s">
        <v>1063</v>
      </c>
      <c r="F65" s="477" t="s">
        <v>1180</v>
      </c>
      <c r="G65" s="498">
        <v>61</v>
      </c>
      <c r="H65" s="498">
        <v>9</v>
      </c>
      <c r="I65" s="498">
        <v>10</v>
      </c>
      <c r="J65" s="472">
        <v>280</v>
      </c>
      <c r="K65" s="472">
        <v>121</v>
      </c>
      <c r="L65" s="472">
        <v>121</v>
      </c>
      <c r="M65" s="2135">
        <f t="shared" si="26"/>
        <v>1</v>
      </c>
      <c r="N65" s="482">
        <v>53</v>
      </c>
      <c r="O65" s="472">
        <v>18601</v>
      </c>
      <c r="P65" s="472">
        <v>11027</v>
      </c>
      <c r="Q65" s="472">
        <v>11027</v>
      </c>
      <c r="R65" s="472">
        <v>42</v>
      </c>
      <c r="S65" s="472">
        <v>91</v>
      </c>
      <c r="T65" s="472">
        <f t="shared" si="27"/>
        <v>50.961643835616435</v>
      </c>
      <c r="U65" s="472">
        <f t="shared" si="28"/>
        <v>150</v>
      </c>
      <c r="V65" s="472">
        <f t="shared" si="28"/>
        <v>752.06611570247935</v>
      </c>
      <c r="W65" s="472">
        <f t="shared" si="29"/>
        <v>421.17061021170611</v>
      </c>
      <c r="X65" s="2136">
        <f t="shared" si="30"/>
        <v>0.59281759045212623</v>
      </c>
      <c r="Y65" s="2136">
        <f t="shared" si="31"/>
        <v>0.59281759045212623</v>
      </c>
      <c r="Z65" s="2136">
        <f t="shared" si="32"/>
        <v>0.56001806412765309</v>
      </c>
      <c r="AA65" s="477" t="s">
        <v>689</v>
      </c>
      <c r="AB65" s="518">
        <v>1390</v>
      </c>
    </row>
    <row r="66" spans="1:28" s="461" customFormat="1" ht="11.25" customHeight="1">
      <c r="A66" s="948"/>
      <c r="B66" s="517">
        <v>54</v>
      </c>
      <c r="C66" s="518" t="s">
        <v>392</v>
      </c>
      <c r="D66" s="472" t="s">
        <v>1126</v>
      </c>
      <c r="E66" s="472" t="s">
        <v>1063</v>
      </c>
      <c r="F66" s="477" t="s">
        <v>1171</v>
      </c>
      <c r="G66" s="498">
        <v>29</v>
      </c>
      <c r="H66" s="498">
        <v>3</v>
      </c>
      <c r="I66" s="498">
        <v>31</v>
      </c>
      <c r="J66" s="472">
        <v>314</v>
      </c>
      <c r="K66" s="472">
        <v>280</v>
      </c>
      <c r="L66" s="472">
        <v>280</v>
      </c>
      <c r="M66" s="2135">
        <f t="shared" si="26"/>
        <v>1</v>
      </c>
      <c r="N66" s="472">
        <v>54</v>
      </c>
      <c r="O66" s="472">
        <v>28281</v>
      </c>
      <c r="P66" s="472">
        <v>26627</v>
      </c>
      <c r="Q66" s="472">
        <v>26627</v>
      </c>
      <c r="R66" s="472">
        <v>136</v>
      </c>
      <c r="S66" s="472">
        <v>134</v>
      </c>
      <c r="T66" s="472">
        <f t="shared" si="27"/>
        <v>77.482191780821921</v>
      </c>
      <c r="U66" s="472">
        <f t="shared" si="28"/>
        <v>433.12101910828028</v>
      </c>
      <c r="V66" s="472">
        <f t="shared" si="28"/>
        <v>478.57142857142861</v>
      </c>
      <c r="W66" s="472">
        <f t="shared" si="29"/>
        <v>276.72211350293543</v>
      </c>
      <c r="X66" s="2136">
        <f t="shared" si="30"/>
        <v>0.94151550510943738</v>
      </c>
      <c r="Y66" s="2136">
        <f t="shared" si="31"/>
        <v>0.94151550510943738</v>
      </c>
      <c r="Z66" s="2136">
        <f t="shared" si="32"/>
        <v>0.57822531179717851</v>
      </c>
      <c r="AA66" s="477" t="s">
        <v>689</v>
      </c>
      <c r="AB66" s="518">
        <v>1390</v>
      </c>
    </row>
    <row r="67" spans="1:28" s="461" customFormat="1" ht="11.25" customHeight="1">
      <c r="A67" s="948"/>
      <c r="B67" s="517">
        <v>55</v>
      </c>
      <c r="C67" s="518" t="s">
        <v>392</v>
      </c>
      <c r="D67" s="472" t="s">
        <v>1127</v>
      </c>
      <c r="E67" s="472" t="s">
        <v>1063</v>
      </c>
      <c r="F67" s="477" t="s">
        <v>1180</v>
      </c>
      <c r="G67" s="498">
        <v>57</v>
      </c>
      <c r="H67" s="498">
        <v>6</v>
      </c>
      <c r="I67" s="498">
        <v>16</v>
      </c>
      <c r="J67" s="472">
        <v>350</v>
      </c>
      <c r="K67" s="472">
        <v>148</v>
      </c>
      <c r="L67" s="472">
        <v>148</v>
      </c>
      <c r="M67" s="2135">
        <f t="shared" si="26"/>
        <v>1</v>
      </c>
      <c r="N67" s="482">
        <v>55</v>
      </c>
      <c r="O67" s="472">
        <v>29564</v>
      </c>
      <c r="P67" s="472">
        <v>13387</v>
      </c>
      <c r="Q67" s="472">
        <v>13387</v>
      </c>
      <c r="R67" s="472">
        <v>84</v>
      </c>
      <c r="S67" s="472">
        <v>102</v>
      </c>
      <c r="T67" s="472">
        <f t="shared" si="27"/>
        <v>80.9972602739726</v>
      </c>
      <c r="U67" s="472">
        <f t="shared" si="28"/>
        <v>240</v>
      </c>
      <c r="V67" s="472">
        <f t="shared" si="28"/>
        <v>689.18918918918916</v>
      </c>
      <c r="W67" s="472">
        <f t="shared" si="29"/>
        <v>547.27878563495005</v>
      </c>
      <c r="X67" s="2136">
        <f t="shared" si="30"/>
        <v>0.45281423352726291</v>
      </c>
      <c r="Y67" s="2136">
        <f t="shared" si="31"/>
        <v>0.45281423352726291</v>
      </c>
      <c r="Z67" s="2136">
        <f t="shared" si="32"/>
        <v>0.79409078699973135</v>
      </c>
      <c r="AA67" s="477" t="s">
        <v>689</v>
      </c>
      <c r="AB67" s="518">
        <v>1390</v>
      </c>
    </row>
    <row r="68" spans="1:28" s="461" customFormat="1" ht="11.25" customHeight="1">
      <c r="A68" s="948"/>
      <c r="B68" s="517">
        <v>56</v>
      </c>
      <c r="C68" s="518" t="s">
        <v>392</v>
      </c>
      <c r="D68" s="472" t="s">
        <v>1128</v>
      </c>
      <c r="E68" s="472" t="s">
        <v>1063</v>
      </c>
      <c r="F68" s="477" t="s">
        <v>1171</v>
      </c>
      <c r="G68" s="498">
        <v>28</v>
      </c>
      <c r="H68" s="498">
        <v>9</v>
      </c>
      <c r="I68" s="498">
        <v>1</v>
      </c>
      <c r="J68" s="472">
        <v>103</v>
      </c>
      <c r="K68" s="472">
        <v>82</v>
      </c>
      <c r="L68" s="472">
        <v>82</v>
      </c>
      <c r="M68" s="2135">
        <f t="shared" si="26"/>
        <v>1</v>
      </c>
      <c r="N68" s="472">
        <v>56</v>
      </c>
      <c r="O68" s="472">
        <v>8345</v>
      </c>
      <c r="P68" s="472">
        <v>8345</v>
      </c>
      <c r="Q68" s="472">
        <v>8345</v>
      </c>
      <c r="R68" s="472">
        <v>32</v>
      </c>
      <c r="S68" s="472">
        <v>29</v>
      </c>
      <c r="T68" s="472">
        <f t="shared" si="27"/>
        <v>22.863013698630137</v>
      </c>
      <c r="U68" s="472">
        <f t="shared" si="28"/>
        <v>310.67961165048541</v>
      </c>
      <c r="V68" s="472">
        <f t="shared" si="28"/>
        <v>353.65853658536582</v>
      </c>
      <c r="W68" s="472">
        <f t="shared" si="29"/>
        <v>278.81724022719681</v>
      </c>
      <c r="X68" s="2136">
        <f t="shared" si="30"/>
        <v>1</v>
      </c>
      <c r="Y68" s="2136">
        <f t="shared" si="31"/>
        <v>1</v>
      </c>
      <c r="Z68" s="2136">
        <f t="shared" si="32"/>
        <v>0.78837978271138409</v>
      </c>
      <c r="AA68" s="477" t="s">
        <v>689</v>
      </c>
      <c r="AB68" s="518">
        <v>1390</v>
      </c>
    </row>
    <row r="69" spans="1:28" s="461" customFormat="1" ht="11.25" customHeight="1">
      <c r="A69" s="948"/>
      <c r="B69" s="521">
        <v>57</v>
      </c>
      <c r="C69" s="521" t="s">
        <v>392</v>
      </c>
      <c r="D69" s="478" t="s">
        <v>1129</v>
      </c>
      <c r="E69" s="478" t="s">
        <v>1063</v>
      </c>
      <c r="F69" s="479" t="s">
        <v>1180</v>
      </c>
      <c r="G69" s="480">
        <v>50</v>
      </c>
      <c r="H69" s="480">
        <v>7</v>
      </c>
      <c r="I69" s="480">
        <v>30</v>
      </c>
      <c r="J69" s="478">
        <v>110</v>
      </c>
      <c r="K69" s="478">
        <v>66</v>
      </c>
      <c r="L69" s="478">
        <v>66</v>
      </c>
      <c r="M69" s="2125">
        <f t="shared" si="26"/>
        <v>1</v>
      </c>
      <c r="N69" s="478">
        <v>57</v>
      </c>
      <c r="O69" s="478">
        <v>5918</v>
      </c>
      <c r="P69" s="478">
        <v>4635</v>
      </c>
      <c r="Q69" s="478">
        <v>4635</v>
      </c>
      <c r="R69" s="478">
        <v>16.5</v>
      </c>
      <c r="S69" s="478">
        <v>26</v>
      </c>
      <c r="T69" s="478">
        <f t="shared" si="27"/>
        <v>16.213698630136985</v>
      </c>
      <c r="U69" s="478">
        <f t="shared" si="28"/>
        <v>150</v>
      </c>
      <c r="V69" s="478">
        <f t="shared" si="28"/>
        <v>393.93939393939394</v>
      </c>
      <c r="W69" s="478">
        <f t="shared" si="29"/>
        <v>245.66210045662098</v>
      </c>
      <c r="X69" s="2126">
        <f t="shared" si="30"/>
        <v>0.78320378506252109</v>
      </c>
      <c r="Y69" s="2126">
        <f t="shared" si="31"/>
        <v>0.78320378506252109</v>
      </c>
      <c r="Z69" s="2126">
        <f t="shared" si="32"/>
        <v>0.62360379346680717</v>
      </c>
      <c r="AA69" s="479" t="s">
        <v>689</v>
      </c>
      <c r="AB69" s="521">
        <v>1390</v>
      </c>
    </row>
    <row r="70" spans="1:28" s="461" customFormat="1" ht="11.25" customHeight="1">
      <c r="A70" s="948"/>
      <c r="B70" s="517">
        <v>58</v>
      </c>
      <c r="C70" s="517" t="s">
        <v>393</v>
      </c>
      <c r="D70" s="482" t="s">
        <v>1130</v>
      </c>
      <c r="E70" s="482" t="s">
        <v>1060</v>
      </c>
      <c r="F70" s="483" t="s">
        <v>1101</v>
      </c>
      <c r="G70" s="484">
        <v>1</v>
      </c>
      <c r="H70" s="484">
        <v>10</v>
      </c>
      <c r="I70" s="484">
        <v>2</v>
      </c>
      <c r="J70" s="482">
        <v>1154</v>
      </c>
      <c r="K70" s="482">
        <v>1110</v>
      </c>
      <c r="L70" s="482">
        <v>1154</v>
      </c>
      <c r="M70" s="2127">
        <f t="shared" si="26"/>
        <v>0.96187175043327555</v>
      </c>
      <c r="N70" s="482">
        <v>58</v>
      </c>
      <c r="O70" s="482">
        <v>112055</v>
      </c>
      <c r="P70" s="482">
        <v>98550</v>
      </c>
      <c r="Q70" s="482">
        <v>95265</v>
      </c>
      <c r="R70" s="482">
        <v>344</v>
      </c>
      <c r="S70" s="482">
        <v>341</v>
      </c>
      <c r="T70" s="482">
        <f t="shared" si="27"/>
        <v>307</v>
      </c>
      <c r="U70" s="482">
        <f t="shared" si="28"/>
        <v>298.09358752166378</v>
      </c>
      <c r="V70" s="482">
        <f t="shared" si="28"/>
        <v>307.20720720720726</v>
      </c>
      <c r="W70" s="482">
        <f t="shared" si="29"/>
        <v>276.5765765765766</v>
      </c>
      <c r="X70" s="2128">
        <f t="shared" si="30"/>
        <v>0.87947882736156346</v>
      </c>
      <c r="Y70" s="2128">
        <f t="shared" si="31"/>
        <v>0.85016286644951145</v>
      </c>
      <c r="Z70" s="2128">
        <f t="shared" si="32"/>
        <v>0.90029325513196479</v>
      </c>
      <c r="AA70" s="483" t="s">
        <v>710</v>
      </c>
      <c r="AB70" s="517">
        <v>300</v>
      </c>
    </row>
    <row r="71" spans="1:28" s="461" customFormat="1" ht="11.25" customHeight="1">
      <c r="A71" s="948"/>
      <c r="B71" s="517">
        <v>59</v>
      </c>
      <c r="C71" s="518" t="s">
        <v>393</v>
      </c>
      <c r="D71" s="472" t="s">
        <v>1131</v>
      </c>
      <c r="E71" s="472" t="s">
        <v>1060</v>
      </c>
      <c r="F71" s="477" t="s">
        <v>1180</v>
      </c>
      <c r="G71" s="498">
        <v>32</v>
      </c>
      <c r="H71" s="498">
        <v>3</v>
      </c>
      <c r="I71" s="498">
        <v>14</v>
      </c>
      <c r="J71" s="472">
        <v>300</v>
      </c>
      <c r="K71" s="472">
        <v>112</v>
      </c>
      <c r="L71" s="472">
        <v>200</v>
      </c>
      <c r="M71" s="2135">
        <f t="shared" si="26"/>
        <v>0.56000000000000005</v>
      </c>
      <c r="N71" s="472">
        <v>59</v>
      </c>
      <c r="O71" s="472">
        <v>8058</v>
      </c>
      <c r="P71" s="472">
        <v>8058</v>
      </c>
      <c r="Q71" s="472">
        <v>8058</v>
      </c>
      <c r="R71" s="472">
        <v>45</v>
      </c>
      <c r="S71" s="472">
        <v>25</v>
      </c>
      <c r="T71" s="472">
        <f t="shared" si="27"/>
        <v>22.076712328767123</v>
      </c>
      <c r="U71" s="472">
        <f t="shared" si="28"/>
        <v>150</v>
      </c>
      <c r="V71" s="472">
        <f t="shared" si="28"/>
        <v>223.21428571428572</v>
      </c>
      <c r="W71" s="472">
        <f t="shared" si="29"/>
        <v>197.11350293542074</v>
      </c>
      <c r="X71" s="2136">
        <f t="shared" si="30"/>
        <v>1</v>
      </c>
      <c r="Y71" s="2136">
        <f t="shared" si="31"/>
        <v>1</v>
      </c>
      <c r="Z71" s="2136">
        <f t="shared" si="32"/>
        <v>0.88306849315068492</v>
      </c>
      <c r="AA71" s="477" t="s">
        <v>710</v>
      </c>
      <c r="AB71" s="518">
        <v>3000</v>
      </c>
    </row>
    <row r="72" spans="1:28" s="461" customFormat="1" ht="11.25" customHeight="1">
      <c r="A72" s="948"/>
      <c r="B72" s="517">
        <v>60</v>
      </c>
      <c r="C72" s="521" t="s">
        <v>393</v>
      </c>
      <c r="D72" s="478" t="s">
        <v>1132</v>
      </c>
      <c r="E72" s="478" t="s">
        <v>1060</v>
      </c>
      <c r="F72" s="479" t="s">
        <v>1180</v>
      </c>
      <c r="G72" s="480">
        <v>34</v>
      </c>
      <c r="H72" s="480">
        <v>9</v>
      </c>
      <c r="I72" s="480">
        <v>9</v>
      </c>
      <c r="J72" s="478">
        <v>150</v>
      </c>
      <c r="K72" s="478">
        <v>59</v>
      </c>
      <c r="L72" s="478">
        <v>72</v>
      </c>
      <c r="M72" s="2125">
        <f t="shared" si="26"/>
        <v>0.81944444444444442</v>
      </c>
      <c r="N72" s="478">
        <v>60</v>
      </c>
      <c r="O72" s="478">
        <v>8150</v>
      </c>
      <c r="P72" s="478">
        <v>8150</v>
      </c>
      <c r="Q72" s="478">
        <v>8150</v>
      </c>
      <c r="R72" s="478">
        <v>23</v>
      </c>
      <c r="S72" s="478">
        <v>24</v>
      </c>
      <c r="T72" s="478">
        <f t="shared" si="27"/>
        <v>22.328767123287673</v>
      </c>
      <c r="U72" s="478">
        <f t="shared" si="28"/>
        <v>153.33333333333331</v>
      </c>
      <c r="V72" s="478">
        <f t="shared" si="28"/>
        <v>406.77966101694921</v>
      </c>
      <c r="W72" s="478">
        <f t="shared" si="29"/>
        <v>378.45368005572328</v>
      </c>
      <c r="X72" s="2126">
        <f t="shared" si="30"/>
        <v>1</v>
      </c>
      <c r="Y72" s="2126">
        <f t="shared" si="31"/>
        <v>1</v>
      </c>
      <c r="Z72" s="2126">
        <f t="shared" si="32"/>
        <v>0.93036529680365299</v>
      </c>
      <c r="AA72" s="479" t="s">
        <v>1057</v>
      </c>
      <c r="AB72" s="521">
        <v>1500</v>
      </c>
    </row>
    <row r="73" spans="1:28" s="461" customFormat="1" ht="11.25" customHeight="1">
      <c r="A73" s="948"/>
      <c r="B73" s="535">
        <v>61</v>
      </c>
      <c r="C73" s="535" t="s">
        <v>394</v>
      </c>
      <c r="D73" s="491" t="s">
        <v>1133</v>
      </c>
      <c r="E73" s="491" t="s">
        <v>1063</v>
      </c>
      <c r="F73" s="492" t="s">
        <v>1171</v>
      </c>
      <c r="G73" s="493">
        <v>24</v>
      </c>
      <c r="H73" s="493">
        <v>1</v>
      </c>
      <c r="I73" s="493">
        <v>11</v>
      </c>
      <c r="J73" s="491">
        <v>200</v>
      </c>
      <c r="K73" s="491">
        <v>113</v>
      </c>
      <c r="L73" s="491">
        <v>119</v>
      </c>
      <c r="M73" s="2131">
        <f t="shared" si="26"/>
        <v>0.94957983193277307</v>
      </c>
      <c r="N73" s="491">
        <v>61</v>
      </c>
      <c r="O73" s="491">
        <v>17704</v>
      </c>
      <c r="P73" s="491">
        <v>11465</v>
      </c>
      <c r="Q73" s="491">
        <v>11465</v>
      </c>
      <c r="R73" s="491">
        <v>50</v>
      </c>
      <c r="S73" s="491">
        <v>50</v>
      </c>
      <c r="T73" s="491">
        <f t="shared" si="27"/>
        <v>48.504109589041093</v>
      </c>
      <c r="U73" s="491">
        <f t="shared" si="28"/>
        <v>250</v>
      </c>
      <c r="V73" s="491">
        <f t="shared" si="28"/>
        <v>442.47787610619469</v>
      </c>
      <c r="W73" s="491">
        <f t="shared" si="29"/>
        <v>429.23990786762027</v>
      </c>
      <c r="X73" s="2132">
        <f t="shared" si="30"/>
        <v>0.64759376412110259</v>
      </c>
      <c r="Y73" s="2132">
        <f t="shared" si="31"/>
        <v>0.64759376412110259</v>
      </c>
      <c r="Z73" s="2132">
        <f t="shared" si="32"/>
        <v>0.97008219178082189</v>
      </c>
      <c r="AA73" s="492" t="s">
        <v>689</v>
      </c>
      <c r="AB73" s="535">
        <v>2728</v>
      </c>
    </row>
    <row r="74" spans="1:28" s="461" customFormat="1" ht="11.25" customHeight="1" thickBot="1">
      <c r="A74" s="948"/>
      <c r="B74" s="517">
        <v>62</v>
      </c>
      <c r="C74" s="527" t="s">
        <v>395</v>
      </c>
      <c r="D74" s="528" t="s">
        <v>1134</v>
      </c>
      <c r="E74" s="528" t="s">
        <v>1060</v>
      </c>
      <c r="F74" s="534" t="s">
        <v>1135</v>
      </c>
      <c r="G74" s="529">
        <v>14</v>
      </c>
      <c r="H74" s="529">
        <v>1</v>
      </c>
      <c r="I74" s="529">
        <v>21</v>
      </c>
      <c r="J74" s="528">
        <v>800</v>
      </c>
      <c r="K74" s="528">
        <v>578</v>
      </c>
      <c r="L74" s="528">
        <v>578</v>
      </c>
      <c r="M74" s="2139">
        <f t="shared" si="26"/>
        <v>1</v>
      </c>
      <c r="N74" s="482">
        <v>62</v>
      </c>
      <c r="O74" s="528">
        <v>62195</v>
      </c>
      <c r="P74" s="528">
        <v>60695</v>
      </c>
      <c r="Q74" s="528">
        <v>52195</v>
      </c>
      <c r="R74" s="528">
        <v>400</v>
      </c>
      <c r="S74" s="528">
        <v>350</v>
      </c>
      <c r="T74" s="528">
        <f t="shared" si="27"/>
        <v>170.39726027397259</v>
      </c>
      <c r="U74" s="528">
        <f t="shared" si="28"/>
        <v>500</v>
      </c>
      <c r="V74" s="528">
        <f t="shared" si="28"/>
        <v>605.5363321799307</v>
      </c>
      <c r="W74" s="528">
        <f t="shared" si="29"/>
        <v>294.80494857088684</v>
      </c>
      <c r="X74" s="2140">
        <f t="shared" si="30"/>
        <v>0.97588230565157974</v>
      </c>
      <c r="Y74" s="2140">
        <f t="shared" si="31"/>
        <v>0.83921537101053134</v>
      </c>
      <c r="Z74" s="2140">
        <f t="shared" si="32"/>
        <v>0.4868493150684931</v>
      </c>
      <c r="AA74" s="534" t="s">
        <v>689</v>
      </c>
      <c r="AB74" s="527">
        <v>800</v>
      </c>
    </row>
    <row r="75" spans="1:28" s="461" customFormat="1" ht="11.25" customHeight="1" thickTop="1">
      <c r="A75" s="948"/>
      <c r="B75" s="502"/>
      <c r="C75" s="536"/>
      <c r="D75" s="503" t="s">
        <v>34</v>
      </c>
      <c r="E75" s="504"/>
      <c r="F75" s="505"/>
      <c r="G75" s="504"/>
      <c r="H75" s="504"/>
      <c r="I75" s="504"/>
      <c r="J75" s="530">
        <f>SUM(J55:J74)</f>
        <v>8506</v>
      </c>
      <c r="K75" s="530">
        <f>SUM(K55:K74)</f>
        <v>6274</v>
      </c>
      <c r="L75" s="530">
        <f>SUM(L55:L74)</f>
        <v>6473</v>
      </c>
      <c r="M75" s="531">
        <f t="shared" si="26"/>
        <v>0.96925691333230346</v>
      </c>
      <c r="N75" s="506"/>
      <c r="O75" s="530">
        <f t="shared" ref="O75:T75" si="33">SUM(O55:O74)</f>
        <v>948754</v>
      </c>
      <c r="P75" s="530">
        <f t="shared" si="33"/>
        <v>585847</v>
      </c>
      <c r="Q75" s="530">
        <f t="shared" si="33"/>
        <v>545451</v>
      </c>
      <c r="R75" s="530">
        <f t="shared" si="33"/>
        <v>3548.5</v>
      </c>
      <c r="S75" s="530">
        <f t="shared" si="33"/>
        <v>3324</v>
      </c>
      <c r="T75" s="530">
        <f t="shared" si="33"/>
        <v>2599.3260273972601</v>
      </c>
      <c r="U75" s="530">
        <f t="shared" ref="U75:V75" si="34">(R75/J75)*1000</f>
        <v>417.17611098048434</v>
      </c>
      <c r="V75" s="530">
        <f t="shared" si="34"/>
        <v>529.80554670066954</v>
      </c>
      <c r="W75" s="530">
        <f t="shared" si="29"/>
        <v>414.30124759280523</v>
      </c>
      <c r="X75" s="2141">
        <f t="shared" si="30"/>
        <v>0.61749094074965694</v>
      </c>
      <c r="Y75" s="2141">
        <f t="shared" si="31"/>
        <v>0.57491299114417438</v>
      </c>
      <c r="Z75" s="2141">
        <f t="shared" si="32"/>
        <v>0.78198737286319497</v>
      </c>
      <c r="AA75" s="507" t="s">
        <v>1094</v>
      </c>
      <c r="AB75" s="508">
        <f>AVERAGE(AB55:AB74)</f>
        <v>1634.8</v>
      </c>
    </row>
    <row r="76" spans="1:28" s="461" customFormat="1" ht="11.25" customHeight="1">
      <c r="A76" s="949"/>
      <c r="B76" s="509"/>
      <c r="C76" s="537"/>
      <c r="D76" s="510"/>
      <c r="E76" s="511"/>
      <c r="F76" s="512"/>
      <c r="G76" s="511"/>
      <c r="H76" s="511"/>
      <c r="I76" s="511"/>
      <c r="J76" s="511"/>
      <c r="K76" s="511"/>
      <c r="L76" s="511"/>
      <c r="M76" s="513"/>
      <c r="N76" s="514"/>
      <c r="O76" s="511"/>
      <c r="P76" s="511"/>
      <c r="Q76" s="511"/>
      <c r="R76" s="511"/>
      <c r="S76" s="511"/>
      <c r="T76" s="511"/>
      <c r="U76" s="511"/>
      <c r="V76" s="511"/>
      <c r="W76" s="511"/>
      <c r="X76" s="515"/>
      <c r="Y76" s="515"/>
      <c r="Z76" s="515"/>
      <c r="AA76" s="516"/>
      <c r="AB76" s="511"/>
    </row>
    <row r="77" spans="1:28" s="461" customFormat="1" ht="11.25" customHeight="1">
      <c r="A77" s="947" t="s">
        <v>1136</v>
      </c>
      <c r="B77" s="535">
        <v>63</v>
      </c>
      <c r="C77" s="535" t="s">
        <v>399</v>
      </c>
      <c r="D77" s="491" t="s">
        <v>1137</v>
      </c>
      <c r="E77" s="491" t="s">
        <v>1056</v>
      </c>
      <c r="F77" s="492" t="s">
        <v>1171</v>
      </c>
      <c r="G77" s="493">
        <v>31</v>
      </c>
      <c r="H77" s="493">
        <v>3</v>
      </c>
      <c r="I77" s="493">
        <v>1</v>
      </c>
      <c r="J77" s="491">
        <v>1700</v>
      </c>
      <c r="K77" s="491">
        <v>1519</v>
      </c>
      <c r="L77" s="491">
        <v>1520</v>
      </c>
      <c r="M77" s="2131">
        <f t="shared" ref="M77:M87" si="35">K77/L77</f>
        <v>0.99934210526315792</v>
      </c>
      <c r="N77" s="491">
        <v>63</v>
      </c>
      <c r="O77" s="491">
        <v>254112</v>
      </c>
      <c r="P77" s="491">
        <v>164043</v>
      </c>
      <c r="Q77" s="491">
        <v>164043</v>
      </c>
      <c r="R77" s="491">
        <v>1460</v>
      </c>
      <c r="S77" s="491">
        <v>1279</v>
      </c>
      <c r="T77" s="491">
        <f t="shared" ref="T77:T86" si="36">O77/365</f>
        <v>696.19726027397257</v>
      </c>
      <c r="U77" s="491">
        <f t="shared" ref="U77:V87" si="37">(R77/J77)*1000</f>
        <v>858.82352941176464</v>
      </c>
      <c r="V77" s="491">
        <f t="shared" si="37"/>
        <v>842.00131665569461</v>
      </c>
      <c r="W77" s="491">
        <f t="shared" ref="W77:W87" si="38">(T77/K77)*1000</f>
        <v>458.32604363000166</v>
      </c>
      <c r="X77" s="2132">
        <f t="shared" ref="X77:X87" si="39">P77/O77</f>
        <v>0.64555392897619945</v>
      </c>
      <c r="Y77" s="2132">
        <f t="shared" ref="Y77:Y87" si="40">Q77/O77</f>
        <v>0.64555392897619945</v>
      </c>
      <c r="Z77" s="2132">
        <f t="shared" ref="Z77:Z87" si="41">T77/S77</f>
        <v>0.54432936690693712</v>
      </c>
      <c r="AA77" s="492" t="s">
        <v>689</v>
      </c>
      <c r="AB77" s="491">
        <v>1426</v>
      </c>
    </row>
    <row r="78" spans="1:28" s="461" customFormat="1" ht="11.25" customHeight="1">
      <c r="A78" s="948"/>
      <c r="B78" s="517">
        <v>64</v>
      </c>
      <c r="C78" s="538" t="s">
        <v>403</v>
      </c>
      <c r="D78" s="495" t="s">
        <v>1138</v>
      </c>
      <c r="E78" s="495" t="s">
        <v>1063</v>
      </c>
      <c r="F78" s="809" t="s">
        <v>1171</v>
      </c>
      <c r="G78" s="496">
        <v>30</v>
      </c>
      <c r="H78" s="496">
        <v>3</v>
      </c>
      <c r="I78" s="496">
        <v>22</v>
      </c>
      <c r="J78" s="495">
        <v>2630</v>
      </c>
      <c r="K78" s="495">
        <v>2531</v>
      </c>
      <c r="L78" s="495">
        <v>2544</v>
      </c>
      <c r="M78" s="2133">
        <f t="shared" si="35"/>
        <v>0.9948899371069182</v>
      </c>
      <c r="N78" s="482">
        <v>64</v>
      </c>
      <c r="O78" s="495">
        <v>301165</v>
      </c>
      <c r="P78" s="495">
        <v>264646</v>
      </c>
      <c r="Q78" s="495">
        <v>264146</v>
      </c>
      <c r="R78" s="495">
        <v>1200</v>
      </c>
      <c r="S78" s="495">
        <v>986</v>
      </c>
      <c r="T78" s="495">
        <f t="shared" si="36"/>
        <v>825.10958904109589</v>
      </c>
      <c r="U78" s="495">
        <f t="shared" si="37"/>
        <v>456.27376425855516</v>
      </c>
      <c r="V78" s="495">
        <f t="shared" si="37"/>
        <v>389.56934018174633</v>
      </c>
      <c r="W78" s="495">
        <f t="shared" si="38"/>
        <v>326.00141803283122</v>
      </c>
      <c r="X78" s="2134">
        <f t="shared" si="39"/>
        <v>0.87874088954559793</v>
      </c>
      <c r="Y78" s="2134">
        <f t="shared" si="40"/>
        <v>0.87708067006458257</v>
      </c>
      <c r="Z78" s="2134">
        <f t="shared" si="41"/>
        <v>0.83682514101531025</v>
      </c>
      <c r="AA78" s="809" t="s">
        <v>689</v>
      </c>
      <c r="AB78" s="495">
        <v>1870</v>
      </c>
    </row>
    <row r="79" spans="1:28" s="461" customFormat="1" ht="11.25" customHeight="1">
      <c r="A79" s="948"/>
      <c r="B79" s="535">
        <v>65</v>
      </c>
      <c r="C79" s="535" t="s">
        <v>404</v>
      </c>
      <c r="D79" s="491" t="s">
        <v>1139</v>
      </c>
      <c r="E79" s="491" t="s">
        <v>1063</v>
      </c>
      <c r="F79" s="492" t="s">
        <v>1171</v>
      </c>
      <c r="G79" s="493">
        <v>27</v>
      </c>
      <c r="H79" s="493">
        <v>3</v>
      </c>
      <c r="I79" s="493">
        <v>23</v>
      </c>
      <c r="J79" s="491">
        <v>4680</v>
      </c>
      <c r="K79" s="491">
        <v>3908</v>
      </c>
      <c r="L79" s="491">
        <v>4152</v>
      </c>
      <c r="M79" s="2131">
        <f t="shared" si="35"/>
        <v>0.94123314065510599</v>
      </c>
      <c r="N79" s="491">
        <v>65</v>
      </c>
      <c r="O79" s="491">
        <v>620520</v>
      </c>
      <c r="P79" s="491">
        <v>429275</v>
      </c>
      <c r="Q79" s="491">
        <v>418717</v>
      </c>
      <c r="R79" s="491">
        <v>2860</v>
      </c>
      <c r="S79" s="491">
        <v>2058</v>
      </c>
      <c r="T79" s="491">
        <f t="shared" si="36"/>
        <v>1700.0547945205481</v>
      </c>
      <c r="U79" s="491">
        <f t="shared" si="37"/>
        <v>611.1111111111112</v>
      </c>
      <c r="V79" s="491">
        <f t="shared" si="37"/>
        <v>526.61207778915048</v>
      </c>
      <c r="W79" s="491">
        <f t="shared" si="38"/>
        <v>435.01913882306758</v>
      </c>
      <c r="X79" s="2132">
        <f t="shared" si="39"/>
        <v>0.691798813898021</v>
      </c>
      <c r="Y79" s="2132">
        <f t="shared" si="40"/>
        <v>0.67478405208534775</v>
      </c>
      <c r="Z79" s="2132">
        <f t="shared" si="41"/>
        <v>0.82607132872718569</v>
      </c>
      <c r="AA79" s="468" t="s">
        <v>689</v>
      </c>
      <c r="AB79" s="467">
        <v>1993</v>
      </c>
    </row>
    <row r="80" spans="1:28" s="461" customFormat="1" ht="11.25" customHeight="1">
      <c r="A80" s="948"/>
      <c r="B80" s="517">
        <v>66</v>
      </c>
      <c r="C80" s="535" t="s">
        <v>406</v>
      </c>
      <c r="D80" s="491" t="s">
        <v>406</v>
      </c>
      <c r="E80" s="491" t="s">
        <v>1074</v>
      </c>
      <c r="F80" s="492" t="s">
        <v>1101</v>
      </c>
      <c r="G80" s="493">
        <v>2</v>
      </c>
      <c r="H80" s="493">
        <v>3</v>
      </c>
      <c r="I80" s="493">
        <v>30</v>
      </c>
      <c r="J80" s="491">
        <v>388</v>
      </c>
      <c r="K80" s="491">
        <v>378</v>
      </c>
      <c r="L80" s="491">
        <v>386</v>
      </c>
      <c r="M80" s="2131">
        <f t="shared" si="35"/>
        <v>0.97927461139896377</v>
      </c>
      <c r="N80" s="482">
        <v>66</v>
      </c>
      <c r="O80" s="491">
        <v>41249</v>
      </c>
      <c r="P80" s="491">
        <v>40943</v>
      </c>
      <c r="Q80" s="491">
        <v>40943</v>
      </c>
      <c r="R80" s="491">
        <v>312</v>
      </c>
      <c r="S80" s="491">
        <v>225</v>
      </c>
      <c r="T80" s="491">
        <f t="shared" si="36"/>
        <v>113.01095890410959</v>
      </c>
      <c r="U80" s="491">
        <f t="shared" si="37"/>
        <v>804.12371134020623</v>
      </c>
      <c r="V80" s="491">
        <f t="shared" si="37"/>
        <v>595.23809523809518</v>
      </c>
      <c r="W80" s="491">
        <f t="shared" si="38"/>
        <v>298.97079075161264</v>
      </c>
      <c r="X80" s="2132">
        <f t="shared" si="39"/>
        <v>0.99258163834274771</v>
      </c>
      <c r="Y80" s="2132">
        <f t="shared" si="40"/>
        <v>0.99258163834274771</v>
      </c>
      <c r="Z80" s="2132">
        <f t="shared" si="41"/>
        <v>0.50227092846270927</v>
      </c>
      <c r="AA80" s="492" t="s">
        <v>710</v>
      </c>
      <c r="AB80" s="491">
        <v>800</v>
      </c>
    </row>
    <row r="81" spans="1:28" s="461" customFormat="1" ht="11.25" customHeight="1">
      <c r="A81" s="948"/>
      <c r="B81" s="535">
        <v>67</v>
      </c>
      <c r="C81" s="539" t="s">
        <v>407</v>
      </c>
      <c r="D81" s="467" t="s">
        <v>1140</v>
      </c>
      <c r="E81" s="467" t="s">
        <v>1074</v>
      </c>
      <c r="F81" s="468" t="s">
        <v>1171</v>
      </c>
      <c r="G81" s="469">
        <v>30</v>
      </c>
      <c r="H81" s="469">
        <v>3</v>
      </c>
      <c r="I81" s="469">
        <v>28</v>
      </c>
      <c r="J81" s="467">
        <v>860</v>
      </c>
      <c r="K81" s="467">
        <v>820</v>
      </c>
      <c r="L81" s="467">
        <v>820</v>
      </c>
      <c r="M81" s="2121">
        <f t="shared" si="35"/>
        <v>1</v>
      </c>
      <c r="N81" s="490">
        <v>67</v>
      </c>
      <c r="O81" s="467">
        <v>87269</v>
      </c>
      <c r="P81" s="467">
        <v>86646</v>
      </c>
      <c r="Q81" s="467">
        <v>84398</v>
      </c>
      <c r="R81" s="467">
        <v>750</v>
      </c>
      <c r="S81" s="467">
        <v>394</v>
      </c>
      <c r="T81" s="467">
        <f t="shared" si="36"/>
        <v>239.09315068493152</v>
      </c>
      <c r="U81" s="467">
        <f t="shared" si="37"/>
        <v>872.09302325581393</v>
      </c>
      <c r="V81" s="467">
        <f t="shared" si="37"/>
        <v>480.48780487804879</v>
      </c>
      <c r="W81" s="467">
        <f t="shared" si="38"/>
        <v>291.57701303040426</v>
      </c>
      <c r="X81" s="2122">
        <f t="shared" si="39"/>
        <v>0.99286115344509507</v>
      </c>
      <c r="Y81" s="2122">
        <f t="shared" si="40"/>
        <v>0.9671017199692904</v>
      </c>
      <c r="Z81" s="2122">
        <f t="shared" si="41"/>
        <v>0.60683540782977541</v>
      </c>
      <c r="AA81" s="468" t="s">
        <v>710</v>
      </c>
      <c r="AB81" s="467">
        <v>1200</v>
      </c>
    </row>
    <row r="82" spans="1:28" s="461" customFormat="1" ht="11.25" customHeight="1">
      <c r="A82" s="948"/>
      <c r="B82" s="517">
        <v>68</v>
      </c>
      <c r="C82" s="535" t="s">
        <v>408</v>
      </c>
      <c r="D82" s="491" t="s">
        <v>408</v>
      </c>
      <c r="E82" s="491" t="s">
        <v>1074</v>
      </c>
      <c r="F82" s="492" t="s">
        <v>1180</v>
      </c>
      <c r="G82" s="493">
        <v>61</v>
      </c>
      <c r="H82" s="493">
        <v>5</v>
      </c>
      <c r="I82" s="493">
        <v>30</v>
      </c>
      <c r="J82" s="491">
        <v>4100</v>
      </c>
      <c r="K82" s="491">
        <v>3505</v>
      </c>
      <c r="L82" s="491">
        <v>3545</v>
      </c>
      <c r="M82" s="2131">
        <f t="shared" si="35"/>
        <v>0.98871650211565587</v>
      </c>
      <c r="N82" s="491">
        <v>68</v>
      </c>
      <c r="O82" s="491">
        <v>401233</v>
      </c>
      <c r="P82" s="491">
        <v>388045</v>
      </c>
      <c r="Q82" s="491">
        <v>383649</v>
      </c>
      <c r="R82" s="491">
        <v>1520</v>
      </c>
      <c r="S82" s="491">
        <v>1542</v>
      </c>
      <c r="T82" s="491">
        <f t="shared" si="36"/>
        <v>1099.2684931506849</v>
      </c>
      <c r="U82" s="491">
        <f t="shared" si="37"/>
        <v>370.73170731707319</v>
      </c>
      <c r="V82" s="491">
        <f t="shared" si="37"/>
        <v>439.94293865905848</v>
      </c>
      <c r="W82" s="491">
        <f t="shared" si="38"/>
        <v>313.62867136966759</v>
      </c>
      <c r="X82" s="2132">
        <f t="shared" si="39"/>
        <v>0.9671313177131492</v>
      </c>
      <c r="Y82" s="2132">
        <f t="shared" si="40"/>
        <v>0.956175090284199</v>
      </c>
      <c r="Z82" s="2132">
        <f t="shared" si="41"/>
        <v>0.71288488531172822</v>
      </c>
      <c r="AA82" s="492" t="s">
        <v>689</v>
      </c>
      <c r="AB82" s="491">
        <v>1650</v>
      </c>
    </row>
    <row r="83" spans="1:28" s="461" customFormat="1" ht="11.25" customHeight="1">
      <c r="A83" s="948"/>
      <c r="B83" s="535">
        <v>69</v>
      </c>
      <c r="C83" s="535" t="s">
        <v>409</v>
      </c>
      <c r="D83" s="491" t="s">
        <v>409</v>
      </c>
      <c r="E83" s="491" t="s">
        <v>1074</v>
      </c>
      <c r="F83" s="492" t="s">
        <v>1171</v>
      </c>
      <c r="G83" s="493">
        <v>6</v>
      </c>
      <c r="H83" s="493">
        <v>3</v>
      </c>
      <c r="I83" s="493">
        <v>31</v>
      </c>
      <c r="J83" s="491">
        <v>720</v>
      </c>
      <c r="K83" s="491">
        <v>474</v>
      </c>
      <c r="L83" s="491">
        <v>483</v>
      </c>
      <c r="M83" s="2131">
        <f t="shared" si="35"/>
        <v>0.98136645962732916</v>
      </c>
      <c r="N83" s="482">
        <v>69</v>
      </c>
      <c r="O83" s="491">
        <v>81449</v>
      </c>
      <c r="P83" s="491">
        <v>81449</v>
      </c>
      <c r="Q83" s="491">
        <v>81449</v>
      </c>
      <c r="R83" s="491">
        <v>281</v>
      </c>
      <c r="S83" s="491">
        <v>281</v>
      </c>
      <c r="T83" s="491">
        <f t="shared" si="36"/>
        <v>223.14794520547946</v>
      </c>
      <c r="U83" s="491">
        <f t="shared" si="37"/>
        <v>390.27777777777777</v>
      </c>
      <c r="V83" s="491">
        <f t="shared" si="37"/>
        <v>592.82700421940922</v>
      </c>
      <c r="W83" s="491">
        <f t="shared" si="38"/>
        <v>470.77625570776257</v>
      </c>
      <c r="X83" s="2132">
        <f t="shared" si="39"/>
        <v>1</v>
      </c>
      <c r="Y83" s="2132">
        <f t="shared" si="40"/>
        <v>1</v>
      </c>
      <c r="Z83" s="2132">
        <f t="shared" si="41"/>
        <v>0.79412080144298736</v>
      </c>
      <c r="AA83" s="492" t="s">
        <v>689</v>
      </c>
      <c r="AB83" s="491">
        <v>1760</v>
      </c>
    </row>
    <row r="84" spans="1:28" s="461" customFormat="1" ht="11.25" customHeight="1">
      <c r="A84" s="948"/>
      <c r="B84" s="517">
        <v>70</v>
      </c>
      <c r="C84" s="535" t="s">
        <v>410</v>
      </c>
      <c r="D84" s="491" t="s">
        <v>1141</v>
      </c>
      <c r="E84" s="491" t="s">
        <v>1074</v>
      </c>
      <c r="F84" s="492" t="s">
        <v>1171</v>
      </c>
      <c r="G84" s="493">
        <v>29</v>
      </c>
      <c r="H84" s="493">
        <v>3</v>
      </c>
      <c r="I84" s="493">
        <v>31</v>
      </c>
      <c r="J84" s="491">
        <v>1180</v>
      </c>
      <c r="K84" s="491">
        <v>1034</v>
      </c>
      <c r="L84" s="491">
        <v>1034</v>
      </c>
      <c r="M84" s="2131">
        <f t="shared" si="35"/>
        <v>1</v>
      </c>
      <c r="N84" s="491">
        <v>70</v>
      </c>
      <c r="O84" s="491">
        <v>128893</v>
      </c>
      <c r="P84" s="491">
        <v>111792</v>
      </c>
      <c r="Q84" s="491">
        <v>111792</v>
      </c>
      <c r="R84" s="491">
        <v>852</v>
      </c>
      <c r="S84" s="491">
        <v>852</v>
      </c>
      <c r="T84" s="491">
        <f t="shared" si="36"/>
        <v>353.13150684931509</v>
      </c>
      <c r="U84" s="491">
        <f t="shared" si="37"/>
        <v>722.03389830508479</v>
      </c>
      <c r="V84" s="491">
        <f t="shared" si="37"/>
        <v>823.98452611218568</v>
      </c>
      <c r="W84" s="491">
        <f t="shared" si="38"/>
        <v>341.5198325428579</v>
      </c>
      <c r="X84" s="2132">
        <f t="shared" si="39"/>
        <v>0.86732405949120583</v>
      </c>
      <c r="Y84" s="2132">
        <f t="shared" si="40"/>
        <v>0.86732405949120583</v>
      </c>
      <c r="Z84" s="2132">
        <f t="shared" si="41"/>
        <v>0.41447359958839797</v>
      </c>
      <c r="AA84" s="492" t="s">
        <v>689</v>
      </c>
      <c r="AB84" s="491">
        <v>2100</v>
      </c>
    </row>
    <row r="85" spans="1:28" s="461" customFormat="1" ht="11.25" customHeight="1">
      <c r="A85" s="948"/>
      <c r="B85" s="535">
        <v>71</v>
      </c>
      <c r="C85" s="538" t="s">
        <v>411</v>
      </c>
      <c r="D85" s="495" t="s">
        <v>411</v>
      </c>
      <c r="E85" s="495" t="s">
        <v>1074</v>
      </c>
      <c r="F85" s="809" t="s">
        <v>1171</v>
      </c>
      <c r="G85" s="496">
        <v>23</v>
      </c>
      <c r="H85" s="496">
        <v>3</v>
      </c>
      <c r="I85" s="496">
        <v>31</v>
      </c>
      <c r="J85" s="495">
        <v>1776</v>
      </c>
      <c r="K85" s="495">
        <v>1467</v>
      </c>
      <c r="L85" s="495">
        <v>1480</v>
      </c>
      <c r="M85" s="2133">
        <f t="shared" si="35"/>
        <v>0.99121621621621625</v>
      </c>
      <c r="N85" s="495">
        <v>71</v>
      </c>
      <c r="O85" s="495">
        <v>198730</v>
      </c>
      <c r="P85" s="495">
        <v>138954</v>
      </c>
      <c r="Q85" s="495">
        <v>128406</v>
      </c>
      <c r="R85" s="495">
        <v>535</v>
      </c>
      <c r="S85" s="495">
        <v>623</v>
      </c>
      <c r="T85" s="495">
        <f t="shared" si="36"/>
        <v>544.46575342465758</v>
      </c>
      <c r="U85" s="495">
        <f t="shared" si="37"/>
        <v>301.23873873873873</v>
      </c>
      <c r="V85" s="495">
        <f t="shared" si="37"/>
        <v>424.67620995228356</v>
      </c>
      <c r="W85" s="495">
        <f t="shared" si="38"/>
        <v>371.14229953964389</v>
      </c>
      <c r="X85" s="2134">
        <f t="shared" si="39"/>
        <v>0.69920998339455542</v>
      </c>
      <c r="Y85" s="2134">
        <f t="shared" si="40"/>
        <v>0.64613294419564238</v>
      </c>
      <c r="Z85" s="2134">
        <f t="shared" si="41"/>
        <v>0.87394181930121606</v>
      </c>
      <c r="AA85" s="809" t="s">
        <v>689</v>
      </c>
      <c r="AB85" s="495">
        <v>1820</v>
      </c>
    </row>
    <row r="86" spans="1:28" s="461" customFormat="1" ht="11.25" customHeight="1" thickBot="1">
      <c r="A86" s="948"/>
      <c r="B86" s="517">
        <v>72</v>
      </c>
      <c r="C86" s="518" t="s">
        <v>414</v>
      </c>
      <c r="D86" s="472" t="s">
        <v>1142</v>
      </c>
      <c r="E86" s="472" t="s">
        <v>1074</v>
      </c>
      <c r="F86" s="477" t="s">
        <v>1171</v>
      </c>
      <c r="G86" s="498">
        <v>30</v>
      </c>
      <c r="H86" s="498">
        <v>3</v>
      </c>
      <c r="I86" s="498">
        <v>28</v>
      </c>
      <c r="J86" s="540">
        <v>920</v>
      </c>
      <c r="K86" s="540">
        <v>702</v>
      </c>
      <c r="L86" s="540">
        <v>799</v>
      </c>
      <c r="M86" s="2123">
        <f t="shared" si="35"/>
        <v>0.87859824780976226</v>
      </c>
      <c r="N86" s="540">
        <v>72</v>
      </c>
      <c r="O86" s="473">
        <v>74821</v>
      </c>
      <c r="P86" s="473">
        <v>24646</v>
      </c>
      <c r="Q86" s="473">
        <v>24646</v>
      </c>
      <c r="R86" s="473">
        <v>314</v>
      </c>
      <c r="S86" s="473">
        <v>227.7</v>
      </c>
      <c r="T86" s="473">
        <f t="shared" si="36"/>
        <v>204.9890410958904</v>
      </c>
      <c r="U86" s="473">
        <f t="shared" si="37"/>
        <v>341.30434782608694</v>
      </c>
      <c r="V86" s="473">
        <f t="shared" si="37"/>
        <v>324.35897435897431</v>
      </c>
      <c r="W86" s="473">
        <f t="shared" si="38"/>
        <v>292.00718104827695</v>
      </c>
      <c r="X86" s="2124">
        <f t="shared" si="39"/>
        <v>0.32939950014033492</v>
      </c>
      <c r="Y86" s="2124">
        <f t="shared" si="40"/>
        <v>0.32939950014033492</v>
      </c>
      <c r="Z86" s="2124">
        <f t="shared" si="41"/>
        <v>0.90025929335041899</v>
      </c>
      <c r="AA86" s="483" t="s">
        <v>689</v>
      </c>
      <c r="AB86" s="482">
        <v>2092</v>
      </c>
    </row>
    <row r="87" spans="1:28" s="461" customFormat="1" ht="11.25" customHeight="1" thickTop="1">
      <c r="A87" s="948"/>
      <c r="B87" s="502"/>
      <c r="C87" s="536"/>
      <c r="D87" s="503" t="s">
        <v>34</v>
      </c>
      <c r="E87" s="504"/>
      <c r="F87" s="505"/>
      <c r="G87" s="504"/>
      <c r="H87" s="504"/>
      <c r="I87" s="504"/>
      <c r="J87" s="530">
        <f>SUM(J77:J86)</f>
        <v>18954</v>
      </c>
      <c r="K87" s="530">
        <f>SUM(K77:K86)</f>
        <v>16338</v>
      </c>
      <c r="L87" s="530">
        <f>SUM(L77:L86)</f>
        <v>16763</v>
      </c>
      <c r="M87" s="541">
        <f t="shared" si="35"/>
        <v>0.9746465429815665</v>
      </c>
      <c r="N87" s="506"/>
      <c r="O87" s="504">
        <f t="shared" ref="O87:T87" si="42">SUM(O77:O86)</f>
        <v>2189441</v>
      </c>
      <c r="P87" s="504">
        <f t="shared" si="42"/>
        <v>1730439</v>
      </c>
      <c r="Q87" s="504">
        <f t="shared" si="42"/>
        <v>1702189</v>
      </c>
      <c r="R87" s="504">
        <f t="shared" si="42"/>
        <v>10084</v>
      </c>
      <c r="S87" s="504">
        <f t="shared" si="42"/>
        <v>8467.7000000000007</v>
      </c>
      <c r="T87" s="504">
        <f t="shared" si="42"/>
        <v>5998.4684931506854</v>
      </c>
      <c r="U87" s="504">
        <f t="shared" si="37"/>
        <v>532.02490239527276</v>
      </c>
      <c r="V87" s="504">
        <f t="shared" si="37"/>
        <v>518.28253152160607</v>
      </c>
      <c r="W87" s="504">
        <f t="shared" si="38"/>
        <v>367.14827354331533</v>
      </c>
      <c r="X87" s="2138">
        <f t="shared" si="39"/>
        <v>0.7903565339280666</v>
      </c>
      <c r="Y87" s="2138">
        <f t="shared" si="40"/>
        <v>0.7774536970852377</v>
      </c>
      <c r="Z87" s="2138">
        <f t="shared" si="41"/>
        <v>0.70839407314272884</v>
      </c>
      <c r="AA87" s="507" t="s">
        <v>1094</v>
      </c>
      <c r="AB87" s="508">
        <f>AVERAGE(AB77:AB86)</f>
        <v>1671.1</v>
      </c>
    </row>
    <row r="88" spans="1:28" s="461" customFormat="1" ht="11.25" customHeight="1">
      <c r="A88" s="949"/>
      <c r="B88" s="509"/>
      <c r="C88" s="537"/>
      <c r="D88" s="510"/>
      <c r="E88" s="511"/>
      <c r="F88" s="512"/>
      <c r="G88" s="511"/>
      <c r="H88" s="511"/>
      <c r="I88" s="511"/>
      <c r="J88" s="511"/>
      <c r="K88" s="511"/>
      <c r="L88" s="511"/>
      <c r="M88" s="542"/>
      <c r="N88" s="514"/>
      <c r="O88" s="543"/>
      <c r="P88" s="543"/>
      <c r="Q88" s="543"/>
      <c r="R88" s="543"/>
      <c r="S88" s="543"/>
      <c r="T88" s="543"/>
      <c r="U88" s="543"/>
      <c r="V88" s="543"/>
      <c r="W88" s="543"/>
      <c r="X88" s="544"/>
      <c r="Y88" s="544"/>
      <c r="Z88" s="544"/>
      <c r="AA88" s="516"/>
      <c r="AB88" s="511"/>
    </row>
    <row r="89" spans="1:28" s="461" customFormat="1" ht="11.25" customHeight="1">
      <c r="A89" s="947" t="s">
        <v>1143</v>
      </c>
      <c r="B89" s="538">
        <v>73</v>
      </c>
      <c r="C89" s="538" t="s">
        <v>416</v>
      </c>
      <c r="D89" s="495" t="s">
        <v>1144</v>
      </c>
      <c r="E89" s="495" t="s">
        <v>1063</v>
      </c>
      <c r="F89" s="809" t="s">
        <v>1171</v>
      </c>
      <c r="G89" s="496">
        <v>29</v>
      </c>
      <c r="H89" s="496">
        <v>3</v>
      </c>
      <c r="I89" s="496">
        <v>31</v>
      </c>
      <c r="J89" s="495">
        <v>4600</v>
      </c>
      <c r="K89" s="495">
        <v>3885</v>
      </c>
      <c r="L89" s="495">
        <v>3957</v>
      </c>
      <c r="M89" s="2133">
        <f t="shared" ref="M89:M108" si="43">K89/L89</f>
        <v>0.9818043972706596</v>
      </c>
      <c r="N89" s="491">
        <v>73</v>
      </c>
      <c r="O89" s="495">
        <v>536562</v>
      </c>
      <c r="P89" s="495">
        <v>451674</v>
      </c>
      <c r="Q89" s="495">
        <v>451674</v>
      </c>
      <c r="R89" s="495">
        <v>1900</v>
      </c>
      <c r="S89" s="495">
        <v>1743</v>
      </c>
      <c r="T89" s="495">
        <f t="shared" ref="T89:T107" si="44">O89/365</f>
        <v>1470.0328767123287</v>
      </c>
      <c r="U89" s="495">
        <f t="shared" ref="U89:V107" si="45">(R89/J89)*1000</f>
        <v>413.04347826086956</v>
      </c>
      <c r="V89" s="495">
        <f t="shared" si="45"/>
        <v>448.64864864864865</v>
      </c>
      <c r="W89" s="495">
        <f t="shared" ref="W89:W108" si="46">(T89/K89)*1000</f>
        <v>378.38684085259428</v>
      </c>
      <c r="X89" s="2134">
        <f t="shared" ref="X89:X108" si="47">P89/O89</f>
        <v>0.84179274715689889</v>
      </c>
      <c r="Y89" s="2134">
        <f t="shared" ref="Y89:Y108" si="48">Q89/O89</f>
        <v>0.84179274715689889</v>
      </c>
      <c r="Z89" s="2134">
        <f t="shared" ref="Z89:Z108" si="49">T89/S89</f>
        <v>0.84339235611722818</v>
      </c>
      <c r="AA89" s="492" t="s">
        <v>710</v>
      </c>
      <c r="AB89" s="491">
        <v>1947</v>
      </c>
    </row>
    <row r="90" spans="1:28" s="461" customFormat="1" ht="11.25" customHeight="1">
      <c r="A90" s="948"/>
      <c r="B90" s="538">
        <v>74</v>
      </c>
      <c r="C90" s="545" t="s">
        <v>418</v>
      </c>
      <c r="D90" s="546" t="s">
        <v>1145</v>
      </c>
      <c r="E90" s="547" t="s">
        <v>1063</v>
      </c>
      <c r="F90" s="548" t="s">
        <v>1171</v>
      </c>
      <c r="G90" s="549">
        <v>29</v>
      </c>
      <c r="H90" s="549">
        <v>3</v>
      </c>
      <c r="I90" s="549">
        <v>31</v>
      </c>
      <c r="J90" s="547">
        <v>4000</v>
      </c>
      <c r="K90" s="547">
        <v>3422</v>
      </c>
      <c r="L90" s="547">
        <v>3438</v>
      </c>
      <c r="M90" s="2142">
        <f t="shared" si="43"/>
        <v>0.99534613147178597</v>
      </c>
      <c r="N90" s="495">
        <v>74</v>
      </c>
      <c r="O90" s="547">
        <v>703534</v>
      </c>
      <c r="P90" s="547">
        <v>703534</v>
      </c>
      <c r="Q90" s="547">
        <v>375687</v>
      </c>
      <c r="R90" s="547">
        <v>2427</v>
      </c>
      <c r="S90" s="547">
        <v>3278</v>
      </c>
      <c r="T90" s="547">
        <f t="shared" si="44"/>
        <v>1927.490410958904</v>
      </c>
      <c r="U90" s="547">
        <f t="shared" si="45"/>
        <v>606.75</v>
      </c>
      <c r="V90" s="547">
        <f t="shared" si="45"/>
        <v>957.91934541203966</v>
      </c>
      <c r="W90" s="547">
        <f t="shared" si="46"/>
        <v>563.26429309143884</v>
      </c>
      <c r="X90" s="2143">
        <f t="shared" si="47"/>
        <v>1</v>
      </c>
      <c r="Y90" s="2143">
        <f t="shared" si="48"/>
        <v>0.53399977826231571</v>
      </c>
      <c r="Z90" s="2143">
        <f t="shared" si="49"/>
        <v>0.58800805703444292</v>
      </c>
      <c r="AA90" s="550" t="s">
        <v>689</v>
      </c>
      <c r="AB90" s="547">
        <v>1968</v>
      </c>
    </row>
    <row r="91" spans="1:28" s="461" customFormat="1" ht="11.25" customHeight="1">
      <c r="A91" s="948"/>
      <c r="B91" s="517">
        <v>75</v>
      </c>
      <c r="C91" s="517" t="s">
        <v>419</v>
      </c>
      <c r="D91" s="482" t="s">
        <v>1146</v>
      </c>
      <c r="E91" s="482" t="s">
        <v>1063</v>
      </c>
      <c r="F91" s="483" t="s">
        <v>1180</v>
      </c>
      <c r="G91" s="484">
        <v>50</v>
      </c>
      <c r="H91" s="484">
        <v>1</v>
      </c>
      <c r="I91" s="484">
        <v>24</v>
      </c>
      <c r="J91" s="482">
        <v>270</v>
      </c>
      <c r="K91" s="482">
        <v>175</v>
      </c>
      <c r="L91" s="482">
        <v>175</v>
      </c>
      <c r="M91" s="2127">
        <f t="shared" si="43"/>
        <v>1</v>
      </c>
      <c r="N91" s="482">
        <v>75</v>
      </c>
      <c r="O91" s="482">
        <v>285572</v>
      </c>
      <c r="P91" s="482">
        <v>100107</v>
      </c>
      <c r="Q91" s="482">
        <v>36301</v>
      </c>
      <c r="R91" s="482">
        <v>1620</v>
      </c>
      <c r="S91" s="482">
        <v>1069</v>
      </c>
      <c r="T91" s="482">
        <f t="shared" si="44"/>
        <v>782.38904109589043</v>
      </c>
      <c r="U91" s="482">
        <f t="shared" si="45"/>
        <v>6000</v>
      </c>
      <c r="V91" s="482">
        <f t="shared" si="45"/>
        <v>6108.5714285714284</v>
      </c>
      <c r="W91" s="482">
        <f t="shared" si="46"/>
        <v>4470.7945205479446</v>
      </c>
      <c r="X91" s="2128">
        <f t="shared" si="47"/>
        <v>0.35054907343857239</v>
      </c>
      <c r="Y91" s="2128">
        <f t="shared" si="48"/>
        <v>0.1271168041684759</v>
      </c>
      <c r="Z91" s="2128">
        <f t="shared" si="49"/>
        <v>0.73188871945359257</v>
      </c>
      <c r="AA91" s="483" t="s">
        <v>1080</v>
      </c>
      <c r="AB91" s="482">
        <v>1980</v>
      </c>
    </row>
    <row r="92" spans="1:28" s="461" customFormat="1" ht="11.25" customHeight="1">
      <c r="A92" s="948"/>
      <c r="B92" s="518">
        <v>76</v>
      </c>
      <c r="C92" s="518" t="s">
        <v>419</v>
      </c>
      <c r="D92" s="472" t="s">
        <v>1147</v>
      </c>
      <c r="E92" s="472" t="s">
        <v>1063</v>
      </c>
      <c r="F92" s="477" t="s">
        <v>1180</v>
      </c>
      <c r="G92" s="498">
        <v>62</v>
      </c>
      <c r="H92" s="498">
        <v>3</v>
      </c>
      <c r="I92" s="498">
        <v>23</v>
      </c>
      <c r="J92" s="472">
        <v>760</v>
      </c>
      <c r="K92" s="472">
        <v>560</v>
      </c>
      <c r="L92" s="472">
        <v>560</v>
      </c>
      <c r="M92" s="2135">
        <f t="shared" si="43"/>
        <v>1</v>
      </c>
      <c r="N92" s="472">
        <v>76</v>
      </c>
      <c r="O92" s="472">
        <v>83950</v>
      </c>
      <c r="P92" s="472">
        <v>60408</v>
      </c>
      <c r="Q92" s="472">
        <v>52884</v>
      </c>
      <c r="R92" s="472">
        <v>230</v>
      </c>
      <c r="S92" s="472">
        <v>230</v>
      </c>
      <c r="T92" s="472">
        <f t="shared" si="44"/>
        <v>230</v>
      </c>
      <c r="U92" s="472">
        <f t="shared" si="45"/>
        <v>302.63157894736844</v>
      </c>
      <c r="V92" s="472">
        <f t="shared" si="45"/>
        <v>410.71428571428572</v>
      </c>
      <c r="W92" s="472">
        <f t="shared" si="46"/>
        <v>410.71428571428572</v>
      </c>
      <c r="X92" s="2136">
        <f t="shared" si="47"/>
        <v>0.71957117331745091</v>
      </c>
      <c r="Y92" s="2136">
        <f t="shared" si="48"/>
        <v>0.62994639666468133</v>
      </c>
      <c r="Z92" s="2136">
        <f t="shared" si="49"/>
        <v>1</v>
      </c>
      <c r="AA92" s="483" t="s">
        <v>1080</v>
      </c>
      <c r="AB92" s="482">
        <v>1980</v>
      </c>
    </row>
    <row r="93" spans="1:28" s="461" customFormat="1" ht="11.25" customHeight="1">
      <c r="A93" s="948"/>
      <c r="B93" s="517">
        <v>77</v>
      </c>
      <c r="C93" s="518" t="s">
        <v>419</v>
      </c>
      <c r="D93" s="472" t="s">
        <v>1148</v>
      </c>
      <c r="E93" s="472" t="s">
        <v>1063</v>
      </c>
      <c r="F93" s="477" t="s">
        <v>1180</v>
      </c>
      <c r="G93" s="498">
        <v>62</v>
      </c>
      <c r="H93" s="498">
        <v>12</v>
      </c>
      <c r="I93" s="498">
        <v>24</v>
      </c>
      <c r="J93" s="472">
        <v>154</v>
      </c>
      <c r="K93" s="472">
        <v>126</v>
      </c>
      <c r="L93" s="472">
        <v>126</v>
      </c>
      <c r="M93" s="2135">
        <f t="shared" si="43"/>
        <v>1</v>
      </c>
      <c r="N93" s="472">
        <v>77</v>
      </c>
      <c r="O93" s="472">
        <v>17082</v>
      </c>
      <c r="P93" s="472">
        <v>7507</v>
      </c>
      <c r="Q93" s="472">
        <v>7217</v>
      </c>
      <c r="R93" s="472">
        <v>47</v>
      </c>
      <c r="S93" s="472">
        <v>47</v>
      </c>
      <c r="T93" s="472">
        <f t="shared" si="44"/>
        <v>46.8</v>
      </c>
      <c r="U93" s="472">
        <f t="shared" si="45"/>
        <v>305.19480519480521</v>
      </c>
      <c r="V93" s="472">
        <f t="shared" si="45"/>
        <v>373.01587301587301</v>
      </c>
      <c r="W93" s="472">
        <f t="shared" si="46"/>
        <v>371.42857142857139</v>
      </c>
      <c r="X93" s="2136">
        <f t="shared" si="47"/>
        <v>0.43946844631776139</v>
      </c>
      <c r="Y93" s="2136">
        <f t="shared" si="48"/>
        <v>0.42249151153260744</v>
      </c>
      <c r="Z93" s="2136">
        <f t="shared" si="49"/>
        <v>0.99574468085106382</v>
      </c>
      <c r="AA93" s="477" t="s">
        <v>1080</v>
      </c>
      <c r="AB93" s="472">
        <v>1980</v>
      </c>
    </row>
    <row r="94" spans="1:28" s="461" customFormat="1" ht="11.25" customHeight="1">
      <c r="A94" s="948"/>
      <c r="B94" s="518">
        <v>78</v>
      </c>
      <c r="C94" s="518" t="s">
        <v>419</v>
      </c>
      <c r="D94" s="472" t="s">
        <v>1149</v>
      </c>
      <c r="E94" s="472" t="s">
        <v>1063</v>
      </c>
      <c r="F94" s="477" t="s">
        <v>1171</v>
      </c>
      <c r="G94" s="498">
        <v>17</v>
      </c>
      <c r="H94" s="498">
        <v>10</v>
      </c>
      <c r="I94" s="498">
        <v>31</v>
      </c>
      <c r="J94" s="472">
        <v>900</v>
      </c>
      <c r="K94" s="472">
        <v>128</v>
      </c>
      <c r="L94" s="472">
        <v>128</v>
      </c>
      <c r="M94" s="2135">
        <f t="shared" si="43"/>
        <v>1</v>
      </c>
      <c r="N94" s="472">
        <v>78</v>
      </c>
      <c r="O94" s="472">
        <v>70080</v>
      </c>
      <c r="P94" s="472">
        <v>16187</v>
      </c>
      <c r="Q94" s="472">
        <v>11925</v>
      </c>
      <c r="R94" s="472">
        <v>420</v>
      </c>
      <c r="S94" s="472">
        <v>420</v>
      </c>
      <c r="T94" s="472">
        <f t="shared" si="44"/>
        <v>192</v>
      </c>
      <c r="U94" s="472">
        <f t="shared" si="45"/>
        <v>466.66666666666669</v>
      </c>
      <c r="V94" s="472">
        <f t="shared" si="45"/>
        <v>3281.25</v>
      </c>
      <c r="W94" s="472">
        <f t="shared" si="46"/>
        <v>1500</v>
      </c>
      <c r="X94" s="2136">
        <f t="shared" si="47"/>
        <v>0.2309788812785388</v>
      </c>
      <c r="Y94" s="2136">
        <f t="shared" si="48"/>
        <v>0.17016267123287671</v>
      </c>
      <c r="Z94" s="2136">
        <f t="shared" si="49"/>
        <v>0.45714285714285713</v>
      </c>
      <c r="AA94" s="477" t="s">
        <v>1080</v>
      </c>
      <c r="AB94" s="472">
        <v>1980</v>
      </c>
    </row>
    <row r="95" spans="1:28" s="461" customFormat="1" ht="11.25" customHeight="1">
      <c r="A95" s="948"/>
      <c r="B95" s="517">
        <v>79</v>
      </c>
      <c r="C95" s="518" t="s">
        <v>419</v>
      </c>
      <c r="D95" s="472" t="s">
        <v>1150</v>
      </c>
      <c r="E95" s="472" t="s">
        <v>1063</v>
      </c>
      <c r="F95" s="477" t="s">
        <v>1180</v>
      </c>
      <c r="G95" s="498">
        <v>57</v>
      </c>
      <c r="H95" s="498">
        <v>5</v>
      </c>
      <c r="I95" s="498">
        <v>13</v>
      </c>
      <c r="J95" s="472">
        <v>190</v>
      </c>
      <c r="K95" s="472">
        <v>98</v>
      </c>
      <c r="L95" s="472">
        <v>98</v>
      </c>
      <c r="M95" s="2135">
        <f t="shared" si="43"/>
        <v>1</v>
      </c>
      <c r="N95" s="472">
        <v>79</v>
      </c>
      <c r="O95" s="472">
        <v>26280</v>
      </c>
      <c r="P95" s="472">
        <v>18296</v>
      </c>
      <c r="Q95" s="472">
        <v>8997</v>
      </c>
      <c r="R95" s="472">
        <v>94</v>
      </c>
      <c r="S95" s="472">
        <v>94</v>
      </c>
      <c r="T95" s="472">
        <f t="shared" si="44"/>
        <v>72</v>
      </c>
      <c r="U95" s="472">
        <f t="shared" si="45"/>
        <v>494.73684210526312</v>
      </c>
      <c r="V95" s="472">
        <f t="shared" si="45"/>
        <v>959.18367346938771</v>
      </c>
      <c r="W95" s="472">
        <f t="shared" si="46"/>
        <v>734.69387755102048</v>
      </c>
      <c r="X95" s="2136">
        <f t="shared" si="47"/>
        <v>0.69619482496194829</v>
      </c>
      <c r="Y95" s="2136">
        <f t="shared" si="48"/>
        <v>0.34235159817351596</v>
      </c>
      <c r="Z95" s="2136">
        <f t="shared" si="49"/>
        <v>0.76595744680851063</v>
      </c>
      <c r="AA95" s="477" t="s">
        <v>1080</v>
      </c>
      <c r="AB95" s="472">
        <v>1980</v>
      </c>
    </row>
    <row r="96" spans="1:28" s="461" customFormat="1" ht="11.25" customHeight="1">
      <c r="A96" s="948"/>
      <c r="B96" s="518">
        <v>80</v>
      </c>
      <c r="C96" s="518" t="s">
        <v>419</v>
      </c>
      <c r="D96" s="472" t="s">
        <v>1151</v>
      </c>
      <c r="E96" s="472" t="s">
        <v>1063</v>
      </c>
      <c r="F96" s="477" t="s">
        <v>1171</v>
      </c>
      <c r="G96" s="498">
        <v>22</v>
      </c>
      <c r="H96" s="498">
        <v>12</v>
      </c>
      <c r="I96" s="498">
        <v>22</v>
      </c>
      <c r="J96" s="472">
        <v>1100</v>
      </c>
      <c r="K96" s="472">
        <v>832</v>
      </c>
      <c r="L96" s="472">
        <v>832</v>
      </c>
      <c r="M96" s="2135">
        <f t="shared" si="43"/>
        <v>1</v>
      </c>
      <c r="N96" s="472">
        <v>80</v>
      </c>
      <c r="O96" s="472">
        <v>262800</v>
      </c>
      <c r="P96" s="472">
        <v>95559</v>
      </c>
      <c r="Q96" s="472">
        <v>85171</v>
      </c>
      <c r="R96" s="472">
        <v>690</v>
      </c>
      <c r="S96" s="472">
        <v>760</v>
      </c>
      <c r="T96" s="472">
        <f t="shared" si="44"/>
        <v>720</v>
      </c>
      <c r="U96" s="472">
        <f t="shared" si="45"/>
        <v>627.27272727272737</v>
      </c>
      <c r="V96" s="472">
        <f t="shared" si="45"/>
        <v>913.46153846153845</v>
      </c>
      <c r="W96" s="472">
        <f t="shared" si="46"/>
        <v>865.38461538461547</v>
      </c>
      <c r="X96" s="2136">
        <f t="shared" si="47"/>
        <v>0.36361872146118723</v>
      </c>
      <c r="Y96" s="2136">
        <f t="shared" si="48"/>
        <v>0.32409056316590562</v>
      </c>
      <c r="Z96" s="2136">
        <f t="shared" si="49"/>
        <v>0.94736842105263153</v>
      </c>
      <c r="AA96" s="477" t="s">
        <v>1080</v>
      </c>
      <c r="AB96" s="472">
        <v>1980</v>
      </c>
    </row>
    <row r="97" spans="1:28" s="461" customFormat="1" ht="11.25" customHeight="1">
      <c r="A97" s="948"/>
      <c r="B97" s="517">
        <v>81</v>
      </c>
      <c r="C97" s="518" t="s">
        <v>419</v>
      </c>
      <c r="D97" s="472" t="s">
        <v>1152</v>
      </c>
      <c r="E97" s="472" t="s">
        <v>1063</v>
      </c>
      <c r="F97" s="477" t="s">
        <v>1180</v>
      </c>
      <c r="G97" s="498">
        <v>49</v>
      </c>
      <c r="H97" s="498">
        <v>9</v>
      </c>
      <c r="I97" s="498">
        <v>20</v>
      </c>
      <c r="J97" s="472">
        <v>2200</v>
      </c>
      <c r="K97" s="472">
        <v>1942</v>
      </c>
      <c r="L97" s="472">
        <v>1942</v>
      </c>
      <c r="M97" s="2135">
        <f t="shared" si="43"/>
        <v>1</v>
      </c>
      <c r="N97" s="472">
        <v>81</v>
      </c>
      <c r="O97" s="472">
        <v>462155</v>
      </c>
      <c r="P97" s="472">
        <v>225085</v>
      </c>
      <c r="Q97" s="472">
        <v>220562</v>
      </c>
      <c r="R97" s="472">
        <v>750</v>
      </c>
      <c r="S97" s="472">
        <v>1464</v>
      </c>
      <c r="T97" s="472">
        <f t="shared" si="44"/>
        <v>1266.1780821917807</v>
      </c>
      <c r="U97" s="472">
        <f t="shared" si="45"/>
        <v>340.90909090909088</v>
      </c>
      <c r="V97" s="472">
        <f t="shared" si="45"/>
        <v>753.86199794026777</v>
      </c>
      <c r="W97" s="472">
        <f t="shared" si="46"/>
        <v>651.99695272491283</v>
      </c>
      <c r="X97" s="2136">
        <f t="shared" si="47"/>
        <v>0.48703357098808842</v>
      </c>
      <c r="Y97" s="2136">
        <f t="shared" si="48"/>
        <v>0.47724681113479245</v>
      </c>
      <c r="Z97" s="2136">
        <f t="shared" si="49"/>
        <v>0.86487573920203598</v>
      </c>
      <c r="AA97" s="477" t="s">
        <v>1080</v>
      </c>
      <c r="AB97" s="472">
        <v>1980</v>
      </c>
    </row>
    <row r="98" spans="1:28" s="461" customFormat="1" ht="11.25" customHeight="1">
      <c r="A98" s="948"/>
      <c r="B98" s="518">
        <v>82</v>
      </c>
      <c r="C98" s="518" t="s">
        <v>419</v>
      </c>
      <c r="D98" s="472" t="s">
        <v>1153</v>
      </c>
      <c r="E98" s="472" t="s">
        <v>1063</v>
      </c>
      <c r="F98" s="477" t="s">
        <v>1171</v>
      </c>
      <c r="G98" s="498">
        <v>11</v>
      </c>
      <c r="H98" s="498">
        <v>1</v>
      </c>
      <c r="I98" s="498">
        <v>25</v>
      </c>
      <c r="J98" s="472">
        <v>940</v>
      </c>
      <c r="K98" s="472">
        <v>713</v>
      </c>
      <c r="L98" s="472">
        <v>713</v>
      </c>
      <c r="M98" s="2135">
        <f t="shared" si="43"/>
        <v>1</v>
      </c>
      <c r="N98" s="472">
        <v>82</v>
      </c>
      <c r="O98" s="472">
        <v>186150</v>
      </c>
      <c r="P98" s="472">
        <v>131695</v>
      </c>
      <c r="Q98" s="472">
        <v>115314</v>
      </c>
      <c r="R98" s="472">
        <v>510</v>
      </c>
      <c r="S98" s="472">
        <v>510</v>
      </c>
      <c r="T98" s="472">
        <f t="shared" si="44"/>
        <v>510</v>
      </c>
      <c r="U98" s="472">
        <f t="shared" si="45"/>
        <v>542.55319148936167</v>
      </c>
      <c r="V98" s="472">
        <f t="shared" si="45"/>
        <v>715.28751753155689</v>
      </c>
      <c r="W98" s="472">
        <f t="shared" si="46"/>
        <v>715.28751753155689</v>
      </c>
      <c r="X98" s="2136">
        <f t="shared" si="47"/>
        <v>0.70746709642761219</v>
      </c>
      <c r="Y98" s="2136">
        <f t="shared" si="48"/>
        <v>0.61946817082997585</v>
      </c>
      <c r="Z98" s="2136">
        <f t="shared" si="49"/>
        <v>1</v>
      </c>
      <c r="AA98" s="477" t="s">
        <v>1080</v>
      </c>
      <c r="AB98" s="472">
        <v>1980</v>
      </c>
    </row>
    <row r="99" spans="1:28" s="461" customFormat="1" ht="11.25" customHeight="1">
      <c r="A99" s="948"/>
      <c r="B99" s="517">
        <v>83</v>
      </c>
      <c r="C99" s="518" t="s">
        <v>419</v>
      </c>
      <c r="D99" s="472" t="s">
        <v>1154</v>
      </c>
      <c r="E99" s="472" t="s">
        <v>1063</v>
      </c>
      <c r="F99" s="477" t="s">
        <v>1171</v>
      </c>
      <c r="G99" s="498">
        <v>8</v>
      </c>
      <c r="H99" s="498">
        <v>3</v>
      </c>
      <c r="I99" s="498">
        <v>29</v>
      </c>
      <c r="J99" s="472">
        <v>975</v>
      </c>
      <c r="K99" s="472">
        <v>715</v>
      </c>
      <c r="L99" s="472">
        <v>715</v>
      </c>
      <c r="M99" s="2135">
        <f t="shared" si="43"/>
        <v>1</v>
      </c>
      <c r="N99" s="472">
        <v>83</v>
      </c>
      <c r="O99" s="472">
        <v>462090</v>
      </c>
      <c r="P99" s="472">
        <v>178417</v>
      </c>
      <c r="Q99" s="472">
        <v>93382</v>
      </c>
      <c r="R99" s="472">
        <v>1865</v>
      </c>
      <c r="S99" s="472">
        <v>1857</v>
      </c>
      <c r="T99" s="472">
        <f t="shared" si="44"/>
        <v>1266</v>
      </c>
      <c r="U99" s="472">
        <f t="shared" si="45"/>
        <v>1912.8205128205129</v>
      </c>
      <c r="V99" s="472">
        <f t="shared" si="45"/>
        <v>2597.2027972027972</v>
      </c>
      <c r="W99" s="472">
        <f t="shared" si="46"/>
        <v>1770.6293706293704</v>
      </c>
      <c r="X99" s="2136">
        <f t="shared" si="47"/>
        <v>0.38610876669047156</v>
      </c>
      <c r="Y99" s="2136">
        <f t="shared" si="48"/>
        <v>0.2020861736891082</v>
      </c>
      <c r="Z99" s="2136">
        <f t="shared" si="49"/>
        <v>0.68174474959612275</v>
      </c>
      <c r="AA99" s="477" t="s">
        <v>1080</v>
      </c>
      <c r="AB99" s="472">
        <v>1980</v>
      </c>
    </row>
    <row r="100" spans="1:28" s="461" customFormat="1" ht="11.25" customHeight="1">
      <c r="A100" s="948"/>
      <c r="B100" s="518">
        <v>84</v>
      </c>
      <c r="C100" s="518" t="s">
        <v>419</v>
      </c>
      <c r="D100" s="472" t="s">
        <v>1155</v>
      </c>
      <c r="E100" s="472" t="s">
        <v>1063</v>
      </c>
      <c r="F100" s="477" t="s">
        <v>1171</v>
      </c>
      <c r="G100" s="498">
        <v>4</v>
      </c>
      <c r="H100" s="498">
        <v>11</v>
      </c>
      <c r="I100" s="498">
        <v>19</v>
      </c>
      <c r="J100" s="472">
        <v>750</v>
      </c>
      <c r="K100" s="472">
        <v>6</v>
      </c>
      <c r="L100" s="472">
        <v>6</v>
      </c>
      <c r="M100" s="2135">
        <f t="shared" si="43"/>
        <v>1</v>
      </c>
      <c r="N100" s="472">
        <v>84</v>
      </c>
      <c r="O100" s="472">
        <v>35770</v>
      </c>
      <c r="P100" s="472">
        <v>3325</v>
      </c>
      <c r="Q100" s="472">
        <v>2975</v>
      </c>
      <c r="R100" s="472">
        <v>1419</v>
      </c>
      <c r="S100" s="472">
        <v>98</v>
      </c>
      <c r="T100" s="472">
        <f t="shared" si="44"/>
        <v>98</v>
      </c>
      <c r="U100" s="472">
        <f t="shared" si="45"/>
        <v>1892</v>
      </c>
      <c r="V100" s="472">
        <f t="shared" si="45"/>
        <v>16333.333333333332</v>
      </c>
      <c r="W100" s="472">
        <f t="shared" si="46"/>
        <v>16333.333333333332</v>
      </c>
      <c r="X100" s="2136">
        <f t="shared" si="47"/>
        <v>9.2954990215264183E-2</v>
      </c>
      <c r="Y100" s="2136">
        <f t="shared" si="48"/>
        <v>8.3170254403131111E-2</v>
      </c>
      <c r="Z100" s="2136">
        <f t="shared" si="49"/>
        <v>1</v>
      </c>
      <c r="AA100" s="477" t="s">
        <v>1080</v>
      </c>
      <c r="AB100" s="472">
        <v>1980</v>
      </c>
    </row>
    <row r="101" spans="1:28" s="461" customFormat="1" ht="11.25" customHeight="1">
      <c r="A101" s="948"/>
      <c r="B101" s="517">
        <v>85</v>
      </c>
      <c r="C101" s="521" t="s">
        <v>419</v>
      </c>
      <c r="D101" s="478" t="s">
        <v>1156</v>
      </c>
      <c r="E101" s="478" t="s">
        <v>1070</v>
      </c>
      <c r="F101" s="479" t="s">
        <v>1101</v>
      </c>
      <c r="G101" s="480">
        <v>2</v>
      </c>
      <c r="H101" s="480">
        <v>3</v>
      </c>
      <c r="I101" s="480">
        <v>11</v>
      </c>
      <c r="J101" s="478">
        <v>1212</v>
      </c>
      <c r="K101" s="478">
        <v>47</v>
      </c>
      <c r="L101" s="478">
        <v>47</v>
      </c>
      <c r="M101" s="2125">
        <f t="shared" si="43"/>
        <v>1</v>
      </c>
      <c r="N101" s="478">
        <v>85</v>
      </c>
      <c r="O101" s="478">
        <v>105068</v>
      </c>
      <c r="P101" s="478">
        <v>59526</v>
      </c>
      <c r="Q101" s="478">
        <v>54591</v>
      </c>
      <c r="R101" s="478">
        <v>680</v>
      </c>
      <c r="S101" s="478">
        <v>547</v>
      </c>
      <c r="T101" s="478">
        <f t="shared" si="44"/>
        <v>287.85753424657537</v>
      </c>
      <c r="U101" s="478">
        <f t="shared" si="45"/>
        <v>561.05610561056108</v>
      </c>
      <c r="V101" s="478">
        <f t="shared" si="45"/>
        <v>11638.297872340425</v>
      </c>
      <c r="W101" s="478">
        <f t="shared" si="46"/>
        <v>6124.6283882250082</v>
      </c>
      <c r="X101" s="2126">
        <f t="shared" si="47"/>
        <v>0.5665473788403701</v>
      </c>
      <c r="Y101" s="2126">
        <f t="shared" si="48"/>
        <v>0.51957779723607567</v>
      </c>
      <c r="Z101" s="2126">
        <f t="shared" si="49"/>
        <v>0.52624777741604267</v>
      </c>
      <c r="AA101" s="479" t="s">
        <v>710</v>
      </c>
      <c r="AB101" s="478">
        <v>2200</v>
      </c>
    </row>
    <row r="102" spans="1:28" s="461" customFormat="1" ht="11.25" customHeight="1">
      <c r="A102" s="948"/>
      <c r="B102" s="535">
        <v>86</v>
      </c>
      <c r="C102" s="535" t="s">
        <v>420</v>
      </c>
      <c r="D102" s="491" t="s">
        <v>1157</v>
      </c>
      <c r="E102" s="491" t="s">
        <v>1074</v>
      </c>
      <c r="F102" s="492" t="s">
        <v>1171</v>
      </c>
      <c r="G102" s="493">
        <v>24</v>
      </c>
      <c r="H102" s="493">
        <v>3</v>
      </c>
      <c r="I102" s="493">
        <v>30</v>
      </c>
      <c r="J102" s="491">
        <v>3200</v>
      </c>
      <c r="K102" s="491">
        <v>2611</v>
      </c>
      <c r="L102" s="491">
        <v>2616</v>
      </c>
      <c r="M102" s="2131">
        <f t="shared" si="43"/>
        <v>0.99808868501529047</v>
      </c>
      <c r="N102" s="491">
        <v>86</v>
      </c>
      <c r="O102" s="491">
        <v>575378</v>
      </c>
      <c r="P102" s="491">
        <v>382789</v>
      </c>
      <c r="Q102" s="491">
        <v>287689</v>
      </c>
      <c r="R102" s="491">
        <v>1480</v>
      </c>
      <c r="S102" s="491">
        <v>3131</v>
      </c>
      <c r="T102" s="491">
        <f t="shared" si="44"/>
        <v>1576.3780821917808</v>
      </c>
      <c r="U102" s="491">
        <f t="shared" si="45"/>
        <v>462.5</v>
      </c>
      <c r="V102" s="491">
        <f t="shared" si="45"/>
        <v>1199.1574109536575</v>
      </c>
      <c r="W102" s="491">
        <f t="shared" si="46"/>
        <v>603.74495679501376</v>
      </c>
      <c r="X102" s="2132">
        <f t="shared" si="47"/>
        <v>0.66528264897163258</v>
      </c>
      <c r="Y102" s="2132">
        <f t="shared" si="48"/>
        <v>0.5</v>
      </c>
      <c r="Z102" s="2132">
        <f t="shared" si="49"/>
        <v>0.50347431561538836</v>
      </c>
      <c r="AA102" s="492" t="s">
        <v>689</v>
      </c>
      <c r="AB102" s="491">
        <v>1870</v>
      </c>
    </row>
    <row r="103" spans="1:28" s="461" customFormat="1" ht="11.25" customHeight="1">
      <c r="A103" s="948"/>
      <c r="B103" s="539">
        <v>87</v>
      </c>
      <c r="C103" s="517" t="s">
        <v>421</v>
      </c>
      <c r="D103" s="482" t="s">
        <v>421</v>
      </c>
      <c r="E103" s="482" t="s">
        <v>1074</v>
      </c>
      <c r="F103" s="483" t="s">
        <v>1180</v>
      </c>
      <c r="G103" s="484">
        <v>60</v>
      </c>
      <c r="H103" s="484">
        <v>6</v>
      </c>
      <c r="I103" s="484">
        <v>25</v>
      </c>
      <c r="J103" s="482">
        <v>1480</v>
      </c>
      <c r="K103" s="482">
        <v>653</v>
      </c>
      <c r="L103" s="482">
        <v>653</v>
      </c>
      <c r="M103" s="2127">
        <f t="shared" si="43"/>
        <v>1</v>
      </c>
      <c r="N103" s="467">
        <v>87</v>
      </c>
      <c r="O103" s="482">
        <v>108515</v>
      </c>
      <c r="P103" s="482">
        <v>81929</v>
      </c>
      <c r="Q103" s="482">
        <v>81929</v>
      </c>
      <c r="R103" s="482">
        <v>588</v>
      </c>
      <c r="S103" s="482">
        <v>343</v>
      </c>
      <c r="T103" s="482">
        <f t="shared" si="44"/>
        <v>297.30136986301369</v>
      </c>
      <c r="U103" s="482">
        <f t="shared" si="45"/>
        <v>397.29729729729729</v>
      </c>
      <c r="V103" s="482">
        <f t="shared" si="45"/>
        <v>525.26799387442566</v>
      </c>
      <c r="W103" s="482">
        <f t="shared" si="46"/>
        <v>455.28540560951558</v>
      </c>
      <c r="X103" s="2128">
        <f t="shared" si="47"/>
        <v>0.75500161268027466</v>
      </c>
      <c r="Y103" s="2128">
        <f t="shared" si="48"/>
        <v>0.75500161268027466</v>
      </c>
      <c r="Z103" s="2128">
        <f t="shared" si="49"/>
        <v>0.86676784216622071</v>
      </c>
      <c r="AA103" s="483" t="s">
        <v>689</v>
      </c>
      <c r="AB103" s="482">
        <v>1716</v>
      </c>
    </row>
    <row r="104" spans="1:28" s="461" customFormat="1" ht="11.25" customHeight="1">
      <c r="A104" s="948"/>
      <c r="B104" s="518">
        <v>88</v>
      </c>
      <c r="C104" s="518" t="s">
        <v>421</v>
      </c>
      <c r="D104" s="472" t="s">
        <v>1158</v>
      </c>
      <c r="E104" s="472" t="s">
        <v>1074</v>
      </c>
      <c r="F104" s="477" t="s">
        <v>1180</v>
      </c>
      <c r="G104" s="498">
        <v>62</v>
      </c>
      <c r="H104" s="498">
        <v>3</v>
      </c>
      <c r="I104" s="498">
        <v>23</v>
      </c>
      <c r="J104" s="472">
        <v>170</v>
      </c>
      <c r="K104" s="472">
        <v>16</v>
      </c>
      <c r="L104" s="472">
        <v>16</v>
      </c>
      <c r="M104" s="2135">
        <f t="shared" si="43"/>
        <v>1</v>
      </c>
      <c r="N104" s="472">
        <v>88</v>
      </c>
      <c r="O104" s="472">
        <v>2191</v>
      </c>
      <c r="P104" s="472">
        <v>1654</v>
      </c>
      <c r="Q104" s="472">
        <v>1654</v>
      </c>
      <c r="R104" s="472">
        <v>64</v>
      </c>
      <c r="S104" s="472">
        <v>8</v>
      </c>
      <c r="T104" s="472">
        <f t="shared" si="44"/>
        <v>6.0027397260273974</v>
      </c>
      <c r="U104" s="472">
        <f t="shared" si="45"/>
        <v>376.47058823529409</v>
      </c>
      <c r="V104" s="472">
        <f t="shared" si="45"/>
        <v>500</v>
      </c>
      <c r="W104" s="472">
        <f t="shared" si="46"/>
        <v>375.17123287671234</v>
      </c>
      <c r="X104" s="2136">
        <f t="shared" si="47"/>
        <v>0.75490643541761748</v>
      </c>
      <c r="Y104" s="2136">
        <f t="shared" si="48"/>
        <v>0.75490643541761748</v>
      </c>
      <c r="Z104" s="2136">
        <f t="shared" si="49"/>
        <v>0.75034246575342467</v>
      </c>
      <c r="AA104" s="477" t="s">
        <v>689</v>
      </c>
      <c r="AB104" s="472">
        <v>1716</v>
      </c>
    </row>
    <row r="105" spans="1:28" s="461" customFormat="1" ht="11.25" customHeight="1">
      <c r="A105" s="948"/>
      <c r="B105" s="518">
        <v>89</v>
      </c>
      <c r="C105" s="518" t="s">
        <v>421</v>
      </c>
      <c r="D105" s="472" t="s">
        <v>1159</v>
      </c>
      <c r="E105" s="472" t="s">
        <v>1074</v>
      </c>
      <c r="F105" s="477" t="s">
        <v>1180</v>
      </c>
      <c r="G105" s="498">
        <v>46</v>
      </c>
      <c r="H105" s="498">
        <v>3</v>
      </c>
      <c r="I105" s="498">
        <v>31</v>
      </c>
      <c r="J105" s="472">
        <v>110</v>
      </c>
      <c r="K105" s="472">
        <v>13</v>
      </c>
      <c r="L105" s="472">
        <v>13</v>
      </c>
      <c r="M105" s="2135">
        <f t="shared" si="43"/>
        <v>1</v>
      </c>
      <c r="N105" s="472">
        <v>89</v>
      </c>
      <c r="O105" s="472">
        <v>1964</v>
      </c>
      <c r="P105" s="472">
        <v>1483</v>
      </c>
      <c r="Q105" s="472">
        <v>1483</v>
      </c>
      <c r="R105" s="472">
        <v>165</v>
      </c>
      <c r="S105" s="472">
        <v>7</v>
      </c>
      <c r="T105" s="472">
        <f t="shared" si="44"/>
        <v>5.3808219178082188</v>
      </c>
      <c r="U105" s="472">
        <f t="shared" si="45"/>
        <v>1500</v>
      </c>
      <c r="V105" s="472">
        <f t="shared" si="45"/>
        <v>538.46153846153845</v>
      </c>
      <c r="W105" s="472">
        <f t="shared" si="46"/>
        <v>413.90937829293989</v>
      </c>
      <c r="X105" s="2136">
        <f t="shared" si="47"/>
        <v>0.75509164969450104</v>
      </c>
      <c r="Y105" s="2136">
        <f t="shared" si="48"/>
        <v>0.75509164969450104</v>
      </c>
      <c r="Z105" s="2136">
        <f t="shared" si="49"/>
        <v>0.7686888454011741</v>
      </c>
      <c r="AA105" s="477" t="s">
        <v>689</v>
      </c>
      <c r="AB105" s="472">
        <v>1716</v>
      </c>
    </row>
    <row r="106" spans="1:28" s="461" customFormat="1" ht="11.25" customHeight="1">
      <c r="A106" s="948"/>
      <c r="B106" s="521">
        <v>90</v>
      </c>
      <c r="C106" s="521" t="s">
        <v>421</v>
      </c>
      <c r="D106" s="478" t="s">
        <v>1160</v>
      </c>
      <c r="E106" s="478" t="s">
        <v>1074</v>
      </c>
      <c r="F106" s="479" t="s">
        <v>1180</v>
      </c>
      <c r="G106" s="480">
        <v>61</v>
      </c>
      <c r="H106" s="480">
        <v>8</v>
      </c>
      <c r="I106" s="480">
        <v>19</v>
      </c>
      <c r="J106" s="478">
        <v>2620</v>
      </c>
      <c r="K106" s="478">
        <v>26</v>
      </c>
      <c r="L106" s="478">
        <v>26</v>
      </c>
      <c r="M106" s="2125">
        <f t="shared" si="43"/>
        <v>1</v>
      </c>
      <c r="N106" s="478">
        <v>90</v>
      </c>
      <c r="O106" s="478">
        <v>44652</v>
      </c>
      <c r="P106" s="478">
        <v>33712</v>
      </c>
      <c r="Q106" s="478">
        <v>33712</v>
      </c>
      <c r="R106" s="478">
        <v>1070</v>
      </c>
      <c r="S106" s="478">
        <v>200</v>
      </c>
      <c r="T106" s="478">
        <f t="shared" si="44"/>
        <v>122.33424657534246</v>
      </c>
      <c r="U106" s="478">
        <f t="shared" si="45"/>
        <v>408.39694656488552</v>
      </c>
      <c r="V106" s="478">
        <f t="shared" si="45"/>
        <v>7692.3076923076924</v>
      </c>
      <c r="W106" s="478">
        <f t="shared" si="46"/>
        <v>4705.1633298208635</v>
      </c>
      <c r="X106" s="2126">
        <f t="shared" si="47"/>
        <v>0.75499417719251094</v>
      </c>
      <c r="Y106" s="2126">
        <f t="shared" si="48"/>
        <v>0.75499417719251094</v>
      </c>
      <c r="Z106" s="2126">
        <f t="shared" si="49"/>
        <v>0.61167123287671232</v>
      </c>
      <c r="AA106" s="479" t="s">
        <v>689</v>
      </c>
      <c r="AB106" s="478">
        <v>3212</v>
      </c>
    </row>
    <row r="107" spans="1:28" s="461" customFormat="1" ht="11.25" customHeight="1" thickBot="1">
      <c r="A107" s="948"/>
      <c r="B107" s="517">
        <v>91</v>
      </c>
      <c r="C107" s="517" t="s">
        <v>422</v>
      </c>
      <c r="D107" s="482" t="s">
        <v>422</v>
      </c>
      <c r="E107" s="482" t="s">
        <v>1074</v>
      </c>
      <c r="F107" s="483" t="s">
        <v>1171</v>
      </c>
      <c r="G107" s="484">
        <v>23</v>
      </c>
      <c r="H107" s="484">
        <v>3</v>
      </c>
      <c r="I107" s="484">
        <v>31</v>
      </c>
      <c r="J107" s="551">
        <v>4100</v>
      </c>
      <c r="K107" s="551">
        <v>3393</v>
      </c>
      <c r="L107" s="551">
        <v>3396</v>
      </c>
      <c r="M107" s="2144">
        <f t="shared" si="43"/>
        <v>0.99911660777385158</v>
      </c>
      <c r="N107" s="482">
        <v>91</v>
      </c>
      <c r="O107" s="551">
        <v>557883</v>
      </c>
      <c r="P107" s="551">
        <v>557012</v>
      </c>
      <c r="Q107" s="551">
        <v>425695</v>
      </c>
      <c r="R107" s="551">
        <v>2400</v>
      </c>
      <c r="S107" s="551">
        <v>1730</v>
      </c>
      <c r="T107" s="551">
        <f t="shared" si="44"/>
        <v>1528.4465753424658</v>
      </c>
      <c r="U107" s="551">
        <f t="shared" si="45"/>
        <v>585.36585365853659</v>
      </c>
      <c r="V107" s="551">
        <f t="shared" si="45"/>
        <v>509.87326849395822</v>
      </c>
      <c r="W107" s="551">
        <f t="shared" si="46"/>
        <v>450.47054976199996</v>
      </c>
      <c r="X107" s="2145">
        <f t="shared" si="47"/>
        <v>0.99843874073954575</v>
      </c>
      <c r="Y107" s="2145">
        <f t="shared" si="48"/>
        <v>0.76305426048114033</v>
      </c>
      <c r="Z107" s="2145">
        <f t="shared" si="49"/>
        <v>0.88349513025576065</v>
      </c>
      <c r="AA107" s="483" t="s">
        <v>1080</v>
      </c>
      <c r="AB107" s="482">
        <v>1980</v>
      </c>
    </row>
    <row r="108" spans="1:28" s="461" customFormat="1" ht="11.25" customHeight="1" thickTop="1">
      <c r="A108" s="948"/>
      <c r="B108" s="502"/>
      <c r="C108" s="536"/>
      <c r="D108" s="503" t="s">
        <v>34</v>
      </c>
      <c r="E108" s="504"/>
      <c r="F108" s="505"/>
      <c r="G108" s="504"/>
      <c r="H108" s="504"/>
      <c r="I108" s="504"/>
      <c r="J108" s="530">
        <f>SUM(J89:J107)</f>
        <v>29731</v>
      </c>
      <c r="K108" s="530">
        <f t="shared" ref="K108:L108" si="50">SUM(K89:K107)</f>
        <v>19361</v>
      </c>
      <c r="L108" s="530">
        <f t="shared" si="50"/>
        <v>19457</v>
      </c>
      <c r="M108" s="531">
        <f t="shared" si="43"/>
        <v>0.99506604306933233</v>
      </c>
      <c r="N108" s="506"/>
      <c r="O108" s="530">
        <f t="shared" ref="O108:T108" si="51">SUM(O89:O107)</f>
        <v>4527676</v>
      </c>
      <c r="P108" s="530">
        <f t="shared" si="51"/>
        <v>3109899</v>
      </c>
      <c r="Q108" s="530">
        <f t="shared" si="51"/>
        <v>2348842</v>
      </c>
      <c r="R108" s="530">
        <f t="shared" si="51"/>
        <v>18419</v>
      </c>
      <c r="S108" s="530">
        <f t="shared" si="51"/>
        <v>17536</v>
      </c>
      <c r="T108" s="530">
        <f t="shared" si="51"/>
        <v>12404.591780821918</v>
      </c>
      <c r="U108" s="530">
        <f t="shared" ref="U108:V108" si="52">(R108/J108)*1000</f>
        <v>619.52171134506068</v>
      </c>
      <c r="V108" s="530">
        <f t="shared" si="52"/>
        <v>905.73833996177893</v>
      </c>
      <c r="W108" s="530">
        <f t="shared" si="46"/>
        <v>640.69995252424565</v>
      </c>
      <c r="X108" s="2141">
        <f t="shared" si="47"/>
        <v>0.68686429859380393</v>
      </c>
      <c r="Y108" s="2141">
        <f t="shared" si="48"/>
        <v>0.51877431158943355</v>
      </c>
      <c r="Z108" s="2141">
        <f t="shared" si="49"/>
        <v>0.70737863713628635</v>
      </c>
      <c r="AA108" s="507" t="s">
        <v>1094</v>
      </c>
      <c r="AB108" s="552">
        <f>AVERAGE(AB89:AB107)</f>
        <v>2006.578947368421</v>
      </c>
    </row>
    <row r="109" spans="1:28" s="461" customFormat="1" ht="11.25" customHeight="1">
      <c r="A109" s="949"/>
      <c r="B109" s="509"/>
      <c r="C109" s="537"/>
      <c r="D109" s="510"/>
      <c r="E109" s="511"/>
      <c r="F109" s="512"/>
      <c r="G109" s="511"/>
      <c r="H109" s="511"/>
      <c r="I109" s="511"/>
      <c r="J109" s="543"/>
      <c r="K109" s="543"/>
      <c r="L109" s="543"/>
      <c r="M109" s="542"/>
      <c r="N109" s="514"/>
      <c r="O109" s="543"/>
      <c r="P109" s="543"/>
      <c r="Q109" s="543"/>
      <c r="R109" s="543"/>
      <c r="S109" s="543"/>
      <c r="T109" s="543"/>
      <c r="U109" s="543"/>
      <c r="V109" s="543"/>
      <c r="W109" s="543"/>
      <c r="X109" s="544"/>
      <c r="Y109" s="544"/>
      <c r="Z109" s="544"/>
      <c r="AA109" s="516"/>
      <c r="AB109" s="511"/>
    </row>
    <row r="110" spans="1:28" s="461" customFormat="1" ht="11.25" customHeight="1">
      <c r="A110" s="948" t="s">
        <v>820</v>
      </c>
      <c r="B110" s="535">
        <v>92</v>
      </c>
      <c r="C110" s="521" t="s">
        <v>424</v>
      </c>
      <c r="D110" s="478" t="s">
        <v>1161</v>
      </c>
      <c r="E110" s="478" t="s">
        <v>1060</v>
      </c>
      <c r="F110" s="479" t="s">
        <v>1180</v>
      </c>
      <c r="G110" s="480">
        <v>32</v>
      </c>
      <c r="H110" s="480">
        <v>12</v>
      </c>
      <c r="I110" s="480">
        <v>14</v>
      </c>
      <c r="J110" s="478">
        <v>200</v>
      </c>
      <c r="K110" s="480">
        <v>86</v>
      </c>
      <c r="L110" s="480">
        <v>86</v>
      </c>
      <c r="M110" s="2125">
        <f t="shared" ref="M110:M117" si="53">K110/L110</f>
        <v>1</v>
      </c>
      <c r="N110" s="491">
        <v>92</v>
      </c>
      <c r="O110" s="478">
        <v>6300</v>
      </c>
      <c r="P110" s="478">
        <v>6300</v>
      </c>
      <c r="Q110" s="478">
        <v>6300</v>
      </c>
      <c r="R110" s="478">
        <v>140</v>
      </c>
      <c r="S110" s="478">
        <v>125</v>
      </c>
      <c r="T110" s="478">
        <f t="shared" ref="T110:T116" si="54">O110/365</f>
        <v>17.260273972602739</v>
      </c>
      <c r="U110" s="478">
        <f t="shared" ref="U110:V117" si="55">(R110/J110)*1000</f>
        <v>700</v>
      </c>
      <c r="V110" s="478">
        <f t="shared" si="55"/>
        <v>1453.4883720930231</v>
      </c>
      <c r="W110" s="478">
        <f t="shared" ref="W110:W117" si="56">(T110/K110)*1000</f>
        <v>200.70086014654348</v>
      </c>
      <c r="X110" s="2126">
        <f t="shared" ref="X110:X117" si="57">P110/O110</f>
        <v>1</v>
      </c>
      <c r="Y110" s="2126">
        <f t="shared" ref="Y110:Y117" si="58">Q110/O110</f>
        <v>1</v>
      </c>
      <c r="Z110" s="2126">
        <f t="shared" ref="Z110:Z117" si="59">T110/S110</f>
        <v>0.13808219178082193</v>
      </c>
      <c r="AA110" s="479" t="s">
        <v>1057</v>
      </c>
      <c r="AB110" s="521">
        <v>2000</v>
      </c>
    </row>
    <row r="111" spans="1:28" s="461" customFormat="1" ht="11.25" customHeight="1">
      <c r="A111" s="948"/>
      <c r="B111" s="538">
        <v>93</v>
      </c>
      <c r="C111" s="538" t="s">
        <v>427</v>
      </c>
      <c r="D111" s="495" t="s">
        <v>1162</v>
      </c>
      <c r="E111" s="495" t="s">
        <v>1070</v>
      </c>
      <c r="F111" s="809" t="s">
        <v>1171</v>
      </c>
      <c r="G111" s="496">
        <v>31</v>
      </c>
      <c r="H111" s="496">
        <v>3</v>
      </c>
      <c r="I111" s="496">
        <v>19</v>
      </c>
      <c r="J111" s="495">
        <v>474</v>
      </c>
      <c r="K111" s="495">
        <v>472</v>
      </c>
      <c r="L111" s="495">
        <v>472</v>
      </c>
      <c r="M111" s="2133">
        <f t="shared" si="53"/>
        <v>1</v>
      </c>
      <c r="N111" s="495">
        <v>93</v>
      </c>
      <c r="O111" s="495">
        <v>47769</v>
      </c>
      <c r="P111" s="495">
        <v>20984</v>
      </c>
      <c r="Q111" s="495">
        <v>20984</v>
      </c>
      <c r="R111" s="495">
        <v>175</v>
      </c>
      <c r="S111" s="495">
        <v>182</v>
      </c>
      <c r="T111" s="495">
        <f t="shared" si="54"/>
        <v>130.87397260273971</v>
      </c>
      <c r="U111" s="495">
        <f t="shared" si="55"/>
        <v>369.19831223628688</v>
      </c>
      <c r="V111" s="495">
        <f t="shared" si="55"/>
        <v>385.59322033898309</v>
      </c>
      <c r="W111" s="495">
        <f t="shared" si="56"/>
        <v>277.27536568377059</v>
      </c>
      <c r="X111" s="2134">
        <f t="shared" si="57"/>
        <v>0.4392807050597668</v>
      </c>
      <c r="Y111" s="2134">
        <f t="shared" si="58"/>
        <v>0.4392807050597668</v>
      </c>
      <c r="Z111" s="2134">
        <f t="shared" si="59"/>
        <v>0.71908776155351495</v>
      </c>
      <c r="AA111" s="808" t="s">
        <v>689</v>
      </c>
      <c r="AB111" s="553">
        <v>2090</v>
      </c>
    </row>
    <row r="112" spans="1:28" s="461" customFormat="1" ht="11.25" customHeight="1">
      <c r="A112" s="948"/>
      <c r="B112" s="535">
        <v>94</v>
      </c>
      <c r="C112" s="538" t="s">
        <v>428</v>
      </c>
      <c r="D112" s="495" t="s">
        <v>428</v>
      </c>
      <c r="E112" s="495" t="s">
        <v>1074</v>
      </c>
      <c r="F112" s="809" t="s">
        <v>1171</v>
      </c>
      <c r="G112" s="496">
        <v>19</v>
      </c>
      <c r="H112" s="496">
        <v>10</v>
      </c>
      <c r="I112" s="496">
        <v>15</v>
      </c>
      <c r="J112" s="495">
        <v>3300</v>
      </c>
      <c r="K112" s="495">
        <v>2527</v>
      </c>
      <c r="L112" s="495">
        <v>2527</v>
      </c>
      <c r="M112" s="2133">
        <f t="shared" si="53"/>
        <v>1</v>
      </c>
      <c r="N112" s="482">
        <v>94</v>
      </c>
      <c r="O112" s="495">
        <v>315000</v>
      </c>
      <c r="P112" s="495">
        <v>271747</v>
      </c>
      <c r="Q112" s="495">
        <v>271487</v>
      </c>
      <c r="R112" s="495">
        <v>1600</v>
      </c>
      <c r="S112" s="495">
        <v>1300</v>
      </c>
      <c r="T112" s="495">
        <f t="shared" si="54"/>
        <v>863.01369863013701</v>
      </c>
      <c r="U112" s="495">
        <f t="shared" si="55"/>
        <v>484.84848484848487</v>
      </c>
      <c r="V112" s="495">
        <f t="shared" si="55"/>
        <v>514.44400474871384</v>
      </c>
      <c r="W112" s="495">
        <f t="shared" si="56"/>
        <v>341.5170948279133</v>
      </c>
      <c r="X112" s="2134">
        <f t="shared" si="57"/>
        <v>0.86268888888888884</v>
      </c>
      <c r="Y112" s="2134">
        <f t="shared" si="58"/>
        <v>0.86186349206349211</v>
      </c>
      <c r="Z112" s="2134">
        <f t="shared" si="59"/>
        <v>0.66385669125395153</v>
      </c>
      <c r="AA112" s="492" t="s">
        <v>710</v>
      </c>
      <c r="AB112" s="535">
        <v>2690</v>
      </c>
    </row>
    <row r="113" spans="1:28" s="461" customFormat="1" ht="11.25" customHeight="1">
      <c r="A113" s="948"/>
      <c r="B113" s="538">
        <v>95</v>
      </c>
      <c r="C113" s="554" t="s">
        <v>429</v>
      </c>
      <c r="D113" s="490" t="s">
        <v>429</v>
      </c>
      <c r="E113" s="490" t="s">
        <v>1074</v>
      </c>
      <c r="F113" s="807" t="s">
        <v>1171</v>
      </c>
      <c r="G113" s="555">
        <v>26</v>
      </c>
      <c r="H113" s="555">
        <v>2</v>
      </c>
      <c r="I113" s="555">
        <v>26</v>
      </c>
      <c r="J113" s="490">
        <v>1750</v>
      </c>
      <c r="K113" s="490">
        <v>1538</v>
      </c>
      <c r="L113" s="490">
        <v>1546</v>
      </c>
      <c r="M113" s="2146">
        <f t="shared" si="53"/>
        <v>0.99482535575679176</v>
      </c>
      <c r="N113" s="467">
        <v>95</v>
      </c>
      <c r="O113" s="490">
        <v>140892</v>
      </c>
      <c r="P113" s="490">
        <v>140892</v>
      </c>
      <c r="Q113" s="490">
        <v>140892</v>
      </c>
      <c r="R113" s="490">
        <v>820</v>
      </c>
      <c r="S113" s="556">
        <v>0</v>
      </c>
      <c r="T113" s="490">
        <f t="shared" si="54"/>
        <v>386.00547945205477</v>
      </c>
      <c r="U113" s="490">
        <f t="shared" si="55"/>
        <v>468.57142857142856</v>
      </c>
      <c r="V113" s="807" t="s">
        <v>1079</v>
      </c>
      <c r="W113" s="490">
        <f t="shared" si="56"/>
        <v>250.97885530042575</v>
      </c>
      <c r="X113" s="2147">
        <f t="shared" si="57"/>
        <v>1</v>
      </c>
      <c r="Y113" s="2147">
        <f t="shared" si="58"/>
        <v>1</v>
      </c>
      <c r="Z113" s="2148" t="s">
        <v>1079</v>
      </c>
      <c r="AA113" s="468" t="s">
        <v>689</v>
      </c>
      <c r="AB113" s="467">
        <v>2000</v>
      </c>
    </row>
    <row r="114" spans="1:28" s="461" customFormat="1" ht="11.25" customHeight="1">
      <c r="A114" s="948"/>
      <c r="B114" s="535">
        <v>96</v>
      </c>
      <c r="C114" s="535" t="s">
        <v>430</v>
      </c>
      <c r="D114" s="491" t="s">
        <v>1163</v>
      </c>
      <c r="E114" s="491" t="s">
        <v>1074</v>
      </c>
      <c r="F114" s="492" t="s">
        <v>1180</v>
      </c>
      <c r="G114" s="493">
        <v>46</v>
      </c>
      <c r="H114" s="493">
        <v>11</v>
      </c>
      <c r="I114" s="493">
        <v>19</v>
      </c>
      <c r="J114" s="491">
        <v>2000</v>
      </c>
      <c r="K114" s="491">
        <v>80</v>
      </c>
      <c r="L114" s="491">
        <v>80</v>
      </c>
      <c r="M114" s="2131">
        <f t="shared" si="53"/>
        <v>1</v>
      </c>
      <c r="N114" s="491">
        <v>96</v>
      </c>
      <c r="O114" s="491">
        <v>9740</v>
      </c>
      <c r="P114" s="491">
        <v>9740</v>
      </c>
      <c r="Q114" s="491">
        <v>9740</v>
      </c>
      <c r="R114" s="491">
        <v>400</v>
      </c>
      <c r="S114" s="491">
        <v>175</v>
      </c>
      <c r="T114" s="491">
        <f t="shared" si="54"/>
        <v>26.684931506849313</v>
      </c>
      <c r="U114" s="491">
        <f t="shared" si="55"/>
        <v>200</v>
      </c>
      <c r="V114" s="491">
        <f t="shared" si="55"/>
        <v>2187.5</v>
      </c>
      <c r="W114" s="491">
        <f t="shared" si="56"/>
        <v>333.56164383561645</v>
      </c>
      <c r="X114" s="2132">
        <f t="shared" si="57"/>
        <v>1</v>
      </c>
      <c r="Y114" s="2132">
        <f t="shared" si="58"/>
        <v>1</v>
      </c>
      <c r="Z114" s="2132">
        <f t="shared" si="59"/>
        <v>0.15248532289628178</v>
      </c>
      <c r="AA114" s="492" t="s">
        <v>1080</v>
      </c>
      <c r="AB114" s="535">
        <v>2775</v>
      </c>
    </row>
    <row r="115" spans="1:28" s="461" customFormat="1" ht="11.25" customHeight="1">
      <c r="A115" s="948"/>
      <c r="B115" s="538">
        <v>97</v>
      </c>
      <c r="C115" s="535" t="s">
        <v>431</v>
      </c>
      <c r="D115" s="491" t="s">
        <v>431</v>
      </c>
      <c r="E115" s="491" t="s">
        <v>1074</v>
      </c>
      <c r="F115" s="492" t="s">
        <v>1101</v>
      </c>
      <c r="G115" s="493">
        <v>3</v>
      </c>
      <c r="H115" s="493">
        <v>4</v>
      </c>
      <c r="I115" s="493">
        <v>7</v>
      </c>
      <c r="J115" s="491">
        <v>4480</v>
      </c>
      <c r="K115" s="491">
        <v>4243</v>
      </c>
      <c r="L115" s="491">
        <v>4243</v>
      </c>
      <c r="M115" s="2131">
        <f t="shared" si="53"/>
        <v>1</v>
      </c>
      <c r="N115" s="482">
        <v>97</v>
      </c>
      <c r="O115" s="491">
        <v>665962</v>
      </c>
      <c r="P115" s="491">
        <v>462317</v>
      </c>
      <c r="Q115" s="491">
        <v>462317</v>
      </c>
      <c r="R115" s="491">
        <v>1760</v>
      </c>
      <c r="S115" s="491">
        <v>1860</v>
      </c>
      <c r="T115" s="491">
        <f t="shared" si="54"/>
        <v>1824.5534246575342</v>
      </c>
      <c r="U115" s="491">
        <f t="shared" si="55"/>
        <v>392.85714285714283</v>
      </c>
      <c r="V115" s="491">
        <f t="shared" si="55"/>
        <v>438.36907848220596</v>
      </c>
      <c r="W115" s="491">
        <f t="shared" si="56"/>
        <v>430.01494806918078</v>
      </c>
      <c r="X115" s="2132">
        <f t="shared" si="57"/>
        <v>0.69420927920812303</v>
      </c>
      <c r="Y115" s="2132">
        <f t="shared" si="58"/>
        <v>0.69420927920812303</v>
      </c>
      <c r="Z115" s="2132">
        <f t="shared" si="59"/>
        <v>0.98094270142878182</v>
      </c>
      <c r="AA115" s="809" t="s">
        <v>689</v>
      </c>
      <c r="AB115" s="538">
        <v>1880</v>
      </c>
    </row>
    <row r="116" spans="1:28" s="558" customFormat="1" ht="11.25" customHeight="1" thickBot="1">
      <c r="A116" s="948"/>
      <c r="B116" s="557">
        <v>98</v>
      </c>
      <c r="C116" s="527" t="s">
        <v>432</v>
      </c>
      <c r="D116" s="528" t="s">
        <v>1164</v>
      </c>
      <c r="E116" s="528" t="s">
        <v>1074</v>
      </c>
      <c r="F116" s="534" t="s">
        <v>1171</v>
      </c>
      <c r="G116" s="529">
        <v>29</v>
      </c>
      <c r="H116" s="529">
        <v>3</v>
      </c>
      <c r="I116" s="529">
        <v>31</v>
      </c>
      <c r="J116" s="528">
        <v>4749</v>
      </c>
      <c r="K116" s="528">
        <v>4081</v>
      </c>
      <c r="L116" s="528">
        <v>4081</v>
      </c>
      <c r="M116" s="2139">
        <f t="shared" si="53"/>
        <v>1</v>
      </c>
      <c r="N116" s="551">
        <v>98</v>
      </c>
      <c r="O116" s="528">
        <v>718543</v>
      </c>
      <c r="P116" s="528">
        <v>399770</v>
      </c>
      <c r="Q116" s="528">
        <v>399770</v>
      </c>
      <c r="R116" s="528">
        <v>2079</v>
      </c>
      <c r="S116" s="528">
        <v>2068</v>
      </c>
      <c r="T116" s="528">
        <f t="shared" si="54"/>
        <v>1968.6109589041096</v>
      </c>
      <c r="U116" s="528">
        <f t="shared" si="55"/>
        <v>437.77637397346808</v>
      </c>
      <c r="V116" s="528">
        <f t="shared" si="55"/>
        <v>506.73854447439351</v>
      </c>
      <c r="W116" s="528">
        <f t="shared" si="56"/>
        <v>482.38445452195776</v>
      </c>
      <c r="X116" s="2140">
        <f t="shared" si="57"/>
        <v>0.55636197137819166</v>
      </c>
      <c r="Y116" s="2140">
        <f t="shared" si="58"/>
        <v>0.55636197137819166</v>
      </c>
      <c r="Z116" s="2140">
        <f t="shared" si="59"/>
        <v>0.95193953525343789</v>
      </c>
      <c r="AA116" s="534" t="s">
        <v>710</v>
      </c>
      <c r="AB116" s="527">
        <v>2382</v>
      </c>
    </row>
    <row r="117" spans="1:28" s="461" customFormat="1" ht="11.25" customHeight="1" thickTop="1">
      <c r="A117" s="948"/>
      <c r="B117" s="559"/>
      <c r="C117" s="560"/>
      <c r="D117" s="561" t="s">
        <v>34</v>
      </c>
      <c r="E117" s="530"/>
      <c r="F117" s="562"/>
      <c r="G117" s="530"/>
      <c r="H117" s="530"/>
      <c r="I117" s="530"/>
      <c r="J117" s="530">
        <f>SUM(J110:J116)</f>
        <v>16953</v>
      </c>
      <c r="K117" s="530">
        <f t="shared" ref="K117:L117" si="60">SUM(K110:K116)</f>
        <v>13027</v>
      </c>
      <c r="L117" s="530">
        <f t="shared" si="60"/>
        <v>13035</v>
      </c>
      <c r="M117" s="563">
        <f t="shared" si="53"/>
        <v>0.99938626774069816</v>
      </c>
      <c r="N117" s="564"/>
      <c r="O117" s="530">
        <f t="shared" ref="O117:T117" si="61">SUM(O110:O116)</f>
        <v>1904206</v>
      </c>
      <c r="P117" s="530">
        <f t="shared" si="61"/>
        <v>1311750</v>
      </c>
      <c r="Q117" s="530">
        <f t="shared" si="61"/>
        <v>1311490</v>
      </c>
      <c r="R117" s="530">
        <f t="shared" si="61"/>
        <v>6974</v>
      </c>
      <c r="S117" s="530">
        <f t="shared" si="61"/>
        <v>5710</v>
      </c>
      <c r="T117" s="530">
        <f t="shared" si="61"/>
        <v>5217.0027397260274</v>
      </c>
      <c r="U117" s="530">
        <f t="shared" si="55"/>
        <v>411.37261841561968</v>
      </c>
      <c r="V117" s="530">
        <f t="shared" si="55"/>
        <v>438.32041145313576</v>
      </c>
      <c r="W117" s="530">
        <f t="shared" si="56"/>
        <v>400.47614490873013</v>
      </c>
      <c r="X117" s="2141">
        <f t="shared" si="57"/>
        <v>0.68886979665015236</v>
      </c>
      <c r="Y117" s="2141">
        <f t="shared" si="58"/>
        <v>0.6887332568009974</v>
      </c>
      <c r="Z117" s="2141">
        <f t="shared" si="59"/>
        <v>0.91366072499580164</v>
      </c>
      <c r="AA117" s="565" t="s">
        <v>1094</v>
      </c>
      <c r="AB117" s="566">
        <f>AVERAGE(AB110:AB116)</f>
        <v>2259.5714285714284</v>
      </c>
    </row>
    <row r="118" spans="1:28" s="461" customFormat="1" ht="11.25" customHeight="1">
      <c r="A118" s="949"/>
      <c r="B118" s="509"/>
      <c r="C118" s="537"/>
      <c r="D118" s="510"/>
      <c r="E118" s="511"/>
      <c r="F118" s="512"/>
      <c r="G118" s="511"/>
      <c r="H118" s="511"/>
      <c r="I118" s="511"/>
      <c r="J118" s="543"/>
      <c r="K118" s="543"/>
      <c r="L118" s="543"/>
      <c r="M118" s="542"/>
      <c r="N118" s="514"/>
      <c r="O118" s="543"/>
      <c r="P118" s="543"/>
      <c r="Q118" s="543"/>
      <c r="R118" s="543"/>
      <c r="S118" s="543"/>
      <c r="T118" s="543"/>
      <c r="U118" s="543"/>
      <c r="V118" s="543"/>
      <c r="W118" s="543"/>
      <c r="X118" s="544"/>
      <c r="Y118" s="544"/>
      <c r="Z118" s="544"/>
      <c r="AA118" s="516"/>
      <c r="AB118" s="511"/>
    </row>
    <row r="119" spans="1:28" s="461" customFormat="1" ht="11.25" customHeight="1">
      <c r="A119" s="950" t="s">
        <v>1165</v>
      </c>
      <c r="B119" s="517">
        <v>99</v>
      </c>
      <c r="C119" s="517" t="s">
        <v>434</v>
      </c>
      <c r="D119" s="482" t="s">
        <v>1166</v>
      </c>
      <c r="E119" s="482" t="s">
        <v>1056</v>
      </c>
      <c r="F119" s="483" t="s">
        <v>1101</v>
      </c>
      <c r="G119" s="484">
        <v>1</v>
      </c>
      <c r="H119" s="484">
        <v>8</v>
      </c>
      <c r="I119" s="484">
        <v>22</v>
      </c>
      <c r="J119" s="482">
        <v>1610</v>
      </c>
      <c r="K119" s="482">
        <v>1549</v>
      </c>
      <c r="L119" s="482">
        <v>1549</v>
      </c>
      <c r="M119" s="2127">
        <f t="shared" ref="M119:M126" si="62">K119/L119</f>
        <v>1</v>
      </c>
      <c r="N119" s="482">
        <v>99</v>
      </c>
      <c r="O119" s="482">
        <v>175432</v>
      </c>
      <c r="P119" s="482">
        <v>174008</v>
      </c>
      <c r="Q119" s="482">
        <v>171016</v>
      </c>
      <c r="R119" s="482">
        <v>1330</v>
      </c>
      <c r="S119" s="482">
        <v>1138</v>
      </c>
      <c r="T119" s="482">
        <f t="shared" ref="T119:T125" si="63">O119/365</f>
        <v>480.63561643835618</v>
      </c>
      <c r="U119" s="482">
        <v>526.05042016806726</v>
      </c>
      <c r="V119" s="482">
        <v>723.68421052631584</v>
      </c>
      <c r="W119" s="482">
        <v>328.02320246444253</v>
      </c>
      <c r="X119" s="2128">
        <f t="shared" ref="X119:X126" si="64">P119/O119</f>
        <v>0.99188289479684433</v>
      </c>
      <c r="Y119" s="2128">
        <f t="shared" ref="Y119:Y126" si="65">Q119/O119</f>
        <v>0.97482785352729262</v>
      </c>
      <c r="Z119" s="2128">
        <f t="shared" ref="Z119:Z126" si="66">T119/S119</f>
        <v>0.42235115679996149</v>
      </c>
      <c r="AA119" s="483" t="s">
        <v>710</v>
      </c>
      <c r="AB119" s="517">
        <v>1870</v>
      </c>
    </row>
    <row r="120" spans="1:28" s="461" customFormat="1" ht="11.25" customHeight="1">
      <c r="A120" s="951"/>
      <c r="B120" s="567">
        <v>100</v>
      </c>
      <c r="C120" s="568" t="s">
        <v>434</v>
      </c>
      <c r="D120" s="142" t="s">
        <v>1167</v>
      </c>
      <c r="E120" s="569" t="s">
        <v>1060</v>
      </c>
      <c r="F120" s="570" t="s">
        <v>1180</v>
      </c>
      <c r="G120" s="571">
        <v>32</v>
      </c>
      <c r="H120" s="571">
        <v>12</v>
      </c>
      <c r="I120" s="571">
        <v>1</v>
      </c>
      <c r="J120" s="569">
        <v>120</v>
      </c>
      <c r="K120" s="569">
        <v>48</v>
      </c>
      <c r="L120" s="569">
        <v>48</v>
      </c>
      <c r="M120" s="2149">
        <f t="shared" si="62"/>
        <v>1</v>
      </c>
      <c r="N120" s="569">
        <v>100</v>
      </c>
      <c r="O120" s="569">
        <v>9957</v>
      </c>
      <c r="P120" s="569">
        <v>9957</v>
      </c>
      <c r="Q120" s="569">
        <v>9952</v>
      </c>
      <c r="R120" s="569">
        <v>86</v>
      </c>
      <c r="S120" s="569">
        <v>50</v>
      </c>
      <c r="T120" s="569">
        <f t="shared" si="63"/>
        <v>27.279452054794522</v>
      </c>
      <c r="U120" s="569">
        <v>716.66666666666663</v>
      </c>
      <c r="V120" s="569">
        <v>1086.9565217391303</v>
      </c>
      <c r="W120" s="569">
        <v>593.03156640857662</v>
      </c>
      <c r="X120" s="2150">
        <f t="shared" si="64"/>
        <v>1</v>
      </c>
      <c r="Y120" s="2150">
        <f t="shared" si="65"/>
        <v>0.99949784071507486</v>
      </c>
      <c r="Z120" s="2150">
        <f t="shared" si="66"/>
        <v>0.54558904109589046</v>
      </c>
      <c r="AA120" s="572" t="s">
        <v>1057</v>
      </c>
      <c r="AB120" s="567">
        <v>1000</v>
      </c>
    </row>
    <row r="121" spans="1:28" s="461" customFormat="1" ht="11.25" customHeight="1">
      <c r="A121" s="951"/>
      <c r="B121" s="567">
        <v>101</v>
      </c>
      <c r="C121" s="518" t="s">
        <v>434</v>
      </c>
      <c r="D121" s="472" t="s">
        <v>1168</v>
      </c>
      <c r="E121" s="472" t="s">
        <v>1060</v>
      </c>
      <c r="F121" s="477" t="s">
        <v>1171</v>
      </c>
      <c r="G121" s="498">
        <v>1</v>
      </c>
      <c r="H121" s="498">
        <v>12</v>
      </c>
      <c r="I121" s="498">
        <v>5</v>
      </c>
      <c r="J121" s="472">
        <v>180</v>
      </c>
      <c r="K121" s="472">
        <v>111</v>
      </c>
      <c r="L121" s="472">
        <v>111</v>
      </c>
      <c r="M121" s="2135">
        <f t="shared" si="62"/>
        <v>1</v>
      </c>
      <c r="N121" s="569">
        <v>101</v>
      </c>
      <c r="O121" s="472">
        <v>11510</v>
      </c>
      <c r="P121" s="472">
        <v>11330</v>
      </c>
      <c r="Q121" s="472">
        <v>11230</v>
      </c>
      <c r="R121" s="472">
        <v>66</v>
      </c>
      <c r="S121" s="472">
        <v>55</v>
      </c>
      <c r="T121" s="472">
        <f t="shared" si="63"/>
        <v>31.534246575342465</v>
      </c>
      <c r="U121" s="472">
        <f t="shared" ref="U121:V126" si="67">(R121/J121)*1000</f>
        <v>366.66666666666663</v>
      </c>
      <c r="V121" s="472">
        <f t="shared" si="67"/>
        <v>495.4954954954955</v>
      </c>
      <c r="W121" s="472">
        <f t="shared" ref="W121:W126" si="68">(T121/K121)*1000</f>
        <v>284.09231148957178</v>
      </c>
      <c r="X121" s="2136">
        <f t="shared" si="64"/>
        <v>0.9843614248479583</v>
      </c>
      <c r="Y121" s="2136">
        <f t="shared" si="65"/>
        <v>0.97567332754126845</v>
      </c>
      <c r="Z121" s="2136">
        <f t="shared" si="66"/>
        <v>0.5733499377334994</v>
      </c>
      <c r="AA121" s="477" t="s">
        <v>710</v>
      </c>
      <c r="AB121" s="518">
        <v>500</v>
      </c>
    </row>
    <row r="122" spans="1:28" s="461" customFormat="1" ht="11.25" customHeight="1">
      <c r="A122" s="951"/>
      <c r="B122" s="517">
        <v>102</v>
      </c>
      <c r="C122" s="521" t="s">
        <v>434</v>
      </c>
      <c r="D122" s="478" t="s">
        <v>1169</v>
      </c>
      <c r="E122" s="478" t="s">
        <v>1060</v>
      </c>
      <c r="F122" s="479" t="s">
        <v>1171</v>
      </c>
      <c r="G122" s="480">
        <v>31</v>
      </c>
      <c r="H122" s="480">
        <v>3</v>
      </c>
      <c r="I122" s="480">
        <v>11</v>
      </c>
      <c r="J122" s="478">
        <v>110</v>
      </c>
      <c r="K122" s="478">
        <v>69</v>
      </c>
      <c r="L122" s="478">
        <v>69</v>
      </c>
      <c r="M122" s="2125">
        <f t="shared" si="62"/>
        <v>1</v>
      </c>
      <c r="N122" s="478">
        <v>102</v>
      </c>
      <c r="O122" s="478">
        <v>8025</v>
      </c>
      <c r="P122" s="478">
        <v>7985</v>
      </c>
      <c r="Q122" s="478">
        <v>7980</v>
      </c>
      <c r="R122" s="478">
        <v>56.4</v>
      </c>
      <c r="S122" s="478">
        <v>50</v>
      </c>
      <c r="T122" s="478">
        <f t="shared" si="63"/>
        <v>21.986301369863014</v>
      </c>
      <c r="U122" s="478">
        <f t="shared" si="67"/>
        <v>512.72727272727275</v>
      </c>
      <c r="V122" s="478">
        <f t="shared" si="67"/>
        <v>724.63768115942025</v>
      </c>
      <c r="W122" s="478">
        <f t="shared" si="68"/>
        <v>318.64204883859441</v>
      </c>
      <c r="X122" s="2126">
        <f t="shared" si="64"/>
        <v>0.99501557632398752</v>
      </c>
      <c r="Y122" s="2126">
        <f t="shared" si="65"/>
        <v>0.99439252336448603</v>
      </c>
      <c r="Z122" s="2126">
        <f t="shared" si="66"/>
        <v>0.4397260273972603</v>
      </c>
      <c r="AA122" s="479" t="s">
        <v>1080</v>
      </c>
      <c r="AB122" s="521">
        <v>2500</v>
      </c>
    </row>
    <row r="123" spans="1:28" s="461" customFormat="1" ht="11.25" customHeight="1">
      <c r="A123" s="951"/>
      <c r="B123" s="573">
        <v>103</v>
      </c>
      <c r="C123" s="535" t="s">
        <v>437</v>
      </c>
      <c r="D123" s="491" t="s">
        <v>1170</v>
      </c>
      <c r="E123" s="491" t="s">
        <v>1063</v>
      </c>
      <c r="F123" s="492" t="s">
        <v>1171</v>
      </c>
      <c r="G123" s="493">
        <v>11</v>
      </c>
      <c r="H123" s="493">
        <v>1</v>
      </c>
      <c r="I123" s="493">
        <v>25</v>
      </c>
      <c r="J123" s="491">
        <v>154</v>
      </c>
      <c r="K123" s="491">
        <v>72</v>
      </c>
      <c r="L123" s="491">
        <v>74</v>
      </c>
      <c r="M123" s="2131">
        <f t="shared" si="62"/>
        <v>0.97297297297297303</v>
      </c>
      <c r="N123" s="574">
        <v>103</v>
      </c>
      <c r="O123" s="491">
        <v>27145</v>
      </c>
      <c r="P123" s="491">
        <v>15272</v>
      </c>
      <c r="Q123" s="491">
        <v>15272</v>
      </c>
      <c r="R123" s="491">
        <v>69</v>
      </c>
      <c r="S123" s="491">
        <v>123</v>
      </c>
      <c r="T123" s="491">
        <f t="shared" si="63"/>
        <v>74.369863013698634</v>
      </c>
      <c r="U123" s="491">
        <f t="shared" si="67"/>
        <v>448.05194805194805</v>
      </c>
      <c r="V123" s="491">
        <f t="shared" si="67"/>
        <v>1708.3333333333333</v>
      </c>
      <c r="W123" s="491">
        <f t="shared" si="68"/>
        <v>1032.9147640791475</v>
      </c>
      <c r="X123" s="2132">
        <f t="shared" si="64"/>
        <v>0.56260821514090997</v>
      </c>
      <c r="Y123" s="2132">
        <f t="shared" si="65"/>
        <v>0.56260821514090997</v>
      </c>
      <c r="Z123" s="2132">
        <f t="shared" si="66"/>
        <v>0.60463303263169621</v>
      </c>
      <c r="AA123" s="492" t="s">
        <v>1080</v>
      </c>
      <c r="AB123" s="535">
        <v>1720</v>
      </c>
    </row>
    <row r="124" spans="1:28" s="461" customFormat="1" ht="11.25" customHeight="1">
      <c r="A124" s="951"/>
      <c r="B124" s="517">
        <v>104</v>
      </c>
      <c r="C124" s="518" t="s">
        <v>442</v>
      </c>
      <c r="D124" s="472" t="s">
        <v>1172</v>
      </c>
      <c r="E124" s="472" t="s">
        <v>1074</v>
      </c>
      <c r="F124" s="477" t="s">
        <v>1171</v>
      </c>
      <c r="G124" s="498">
        <v>29</v>
      </c>
      <c r="H124" s="498">
        <v>3</v>
      </c>
      <c r="I124" s="498">
        <v>31</v>
      </c>
      <c r="J124" s="472">
        <v>2540</v>
      </c>
      <c r="K124" s="472">
        <v>2241</v>
      </c>
      <c r="L124" s="472">
        <v>2262</v>
      </c>
      <c r="M124" s="2135">
        <f t="shared" si="62"/>
        <v>0.99071618037135278</v>
      </c>
      <c r="N124" s="482">
        <v>104</v>
      </c>
      <c r="O124" s="472">
        <v>275625</v>
      </c>
      <c r="P124" s="472">
        <v>249342</v>
      </c>
      <c r="Q124" s="472">
        <v>249342</v>
      </c>
      <c r="R124" s="472">
        <v>5300</v>
      </c>
      <c r="S124" s="472">
        <v>2000</v>
      </c>
      <c r="T124" s="472">
        <f t="shared" si="63"/>
        <v>755.13698630136992</v>
      </c>
      <c r="U124" s="472">
        <f t="shared" si="67"/>
        <v>2086.6141732283463</v>
      </c>
      <c r="V124" s="472">
        <f t="shared" si="67"/>
        <v>892.45872378402498</v>
      </c>
      <c r="W124" s="472">
        <f t="shared" si="68"/>
        <v>336.96429553831769</v>
      </c>
      <c r="X124" s="2136">
        <f t="shared" si="64"/>
        <v>0.90464217687074833</v>
      </c>
      <c r="Y124" s="2136">
        <f t="shared" si="65"/>
        <v>0.90464217687074833</v>
      </c>
      <c r="Z124" s="2136">
        <f t="shared" si="66"/>
        <v>0.37756849315068497</v>
      </c>
      <c r="AA124" s="477" t="s">
        <v>689</v>
      </c>
      <c r="AB124" s="472">
        <v>2200</v>
      </c>
    </row>
    <row r="125" spans="1:28" s="461" customFormat="1" ht="11.25" customHeight="1" thickBot="1">
      <c r="A125" s="951"/>
      <c r="B125" s="567">
        <v>105</v>
      </c>
      <c r="C125" s="575" t="s">
        <v>442</v>
      </c>
      <c r="D125" s="540" t="s">
        <v>1173</v>
      </c>
      <c r="E125" s="540" t="s">
        <v>1060</v>
      </c>
      <c r="F125" s="576" t="s">
        <v>1180</v>
      </c>
      <c r="G125" s="577">
        <v>32</v>
      </c>
      <c r="H125" s="577">
        <v>2</v>
      </c>
      <c r="I125" s="577">
        <v>18</v>
      </c>
      <c r="J125" s="540">
        <v>92</v>
      </c>
      <c r="K125" s="540">
        <v>25</v>
      </c>
      <c r="L125" s="540">
        <v>25</v>
      </c>
      <c r="M125" s="2151">
        <f t="shared" si="62"/>
        <v>1</v>
      </c>
      <c r="N125" s="569">
        <v>105</v>
      </c>
      <c r="O125" s="540">
        <v>3060</v>
      </c>
      <c r="P125" s="540">
        <v>3060</v>
      </c>
      <c r="Q125" s="540">
        <v>3060</v>
      </c>
      <c r="R125" s="540">
        <v>19</v>
      </c>
      <c r="S125" s="540">
        <v>27</v>
      </c>
      <c r="T125" s="540">
        <f t="shared" si="63"/>
        <v>8.3835616438356162</v>
      </c>
      <c r="U125" s="540">
        <f t="shared" si="67"/>
        <v>206.52173913043478</v>
      </c>
      <c r="V125" s="540">
        <f t="shared" si="67"/>
        <v>1080</v>
      </c>
      <c r="W125" s="540">
        <f t="shared" si="68"/>
        <v>335.34246575342462</v>
      </c>
      <c r="X125" s="2152">
        <f t="shared" si="64"/>
        <v>1</v>
      </c>
      <c r="Y125" s="2152">
        <f t="shared" si="65"/>
        <v>1</v>
      </c>
      <c r="Z125" s="2152">
        <f t="shared" si="66"/>
        <v>0.31050228310502281</v>
      </c>
      <c r="AA125" s="576" t="s">
        <v>2314</v>
      </c>
      <c r="AB125" s="578">
        <v>0</v>
      </c>
    </row>
    <row r="126" spans="1:28" s="461" customFormat="1" ht="11.25" customHeight="1" thickTop="1">
      <c r="A126" s="951"/>
      <c r="B126" s="502"/>
      <c r="C126" s="536"/>
      <c r="D126" s="503" t="s">
        <v>34</v>
      </c>
      <c r="E126" s="504"/>
      <c r="F126" s="505"/>
      <c r="G126" s="504"/>
      <c r="H126" s="504"/>
      <c r="I126" s="504"/>
      <c r="J126" s="530">
        <f>SUM(J119:J125)</f>
        <v>4806</v>
      </c>
      <c r="K126" s="530">
        <f>SUM(K119:K125)</f>
        <v>4115</v>
      </c>
      <c r="L126" s="530">
        <f>SUM(L119:L125)</f>
        <v>4138</v>
      </c>
      <c r="M126" s="531">
        <f t="shared" si="62"/>
        <v>0.99444175930401157</v>
      </c>
      <c r="N126" s="506"/>
      <c r="O126" s="530">
        <f t="shared" ref="O126:T126" si="69">SUM(O119:O125)</f>
        <v>510754</v>
      </c>
      <c r="P126" s="530">
        <f t="shared" si="69"/>
        <v>470954</v>
      </c>
      <c r="Q126" s="530">
        <f t="shared" si="69"/>
        <v>467852</v>
      </c>
      <c r="R126" s="530">
        <f t="shared" si="69"/>
        <v>6926.4</v>
      </c>
      <c r="S126" s="530">
        <f t="shared" si="69"/>
        <v>3443</v>
      </c>
      <c r="T126" s="530">
        <f t="shared" si="69"/>
        <v>1399.3260273972603</v>
      </c>
      <c r="U126" s="530">
        <f t="shared" si="67"/>
        <v>1441.1985018726591</v>
      </c>
      <c r="V126" s="530">
        <f t="shared" si="67"/>
        <v>836.6950182260025</v>
      </c>
      <c r="W126" s="530">
        <f t="shared" si="68"/>
        <v>340.05492767855657</v>
      </c>
      <c r="X126" s="2141">
        <f t="shared" si="64"/>
        <v>0.92207598961535298</v>
      </c>
      <c r="Y126" s="2141">
        <f t="shared" si="65"/>
        <v>0.91600261574065012</v>
      </c>
      <c r="Z126" s="2141">
        <f t="shared" si="66"/>
        <v>0.40642638030707534</v>
      </c>
      <c r="AA126" s="507" t="s">
        <v>1094</v>
      </c>
      <c r="AB126" s="508">
        <f>AVERAGE(AB119:AB125)</f>
        <v>1398.5714285714287</v>
      </c>
    </row>
    <row r="127" spans="1:28" s="461" customFormat="1" ht="11.25" customHeight="1">
      <c r="A127" s="952"/>
      <c r="B127" s="509"/>
      <c r="C127" s="537"/>
      <c r="D127" s="510"/>
      <c r="E127" s="511"/>
      <c r="F127" s="512"/>
      <c r="G127" s="511"/>
      <c r="H127" s="511"/>
      <c r="I127" s="511"/>
      <c r="J127" s="543"/>
      <c r="K127" s="543"/>
      <c r="L127" s="543"/>
      <c r="M127" s="542"/>
      <c r="N127" s="514"/>
      <c r="O127" s="543"/>
      <c r="P127" s="543"/>
      <c r="Q127" s="543"/>
      <c r="R127" s="543"/>
      <c r="S127" s="543"/>
      <c r="T127" s="543"/>
      <c r="U127" s="543"/>
      <c r="V127" s="543"/>
      <c r="W127" s="543"/>
      <c r="X127" s="544"/>
      <c r="Y127" s="544"/>
      <c r="Z127" s="544"/>
      <c r="AA127" s="516"/>
      <c r="AB127" s="511"/>
    </row>
    <row r="128" spans="1:28" s="461" customFormat="1" ht="11.25" customHeight="1">
      <c r="A128" s="947" t="s">
        <v>1174</v>
      </c>
      <c r="B128" s="517">
        <v>106</v>
      </c>
      <c r="C128" s="517" t="s">
        <v>444</v>
      </c>
      <c r="D128" s="482" t="s">
        <v>1175</v>
      </c>
      <c r="E128" s="482" t="s">
        <v>1060</v>
      </c>
      <c r="F128" s="483" t="s">
        <v>1171</v>
      </c>
      <c r="G128" s="484">
        <v>17</v>
      </c>
      <c r="H128" s="484">
        <v>1</v>
      </c>
      <c r="I128" s="484">
        <v>20</v>
      </c>
      <c r="J128" s="482">
        <v>370</v>
      </c>
      <c r="K128" s="484">
        <v>211</v>
      </c>
      <c r="L128" s="484">
        <v>211</v>
      </c>
      <c r="M128" s="2127">
        <f t="shared" ref="M128:M136" si="70">K128/L128</f>
        <v>1</v>
      </c>
      <c r="N128" s="482">
        <v>106</v>
      </c>
      <c r="O128" s="482">
        <v>31200</v>
      </c>
      <c r="P128" s="482">
        <v>31200</v>
      </c>
      <c r="Q128" s="482">
        <v>31200</v>
      </c>
      <c r="R128" s="482">
        <v>180</v>
      </c>
      <c r="S128" s="482">
        <v>180</v>
      </c>
      <c r="T128" s="482">
        <f t="shared" ref="T128:T135" si="71">O128/365</f>
        <v>85.479452054794521</v>
      </c>
      <c r="U128" s="482">
        <f t="shared" ref="U128:V136" si="72">(R128/J128)*1000</f>
        <v>486.48648648648651</v>
      </c>
      <c r="V128" s="482">
        <f t="shared" si="72"/>
        <v>853.08056872037923</v>
      </c>
      <c r="W128" s="482">
        <f t="shared" ref="W128:W136" si="73">(T128/K128)*1000</f>
        <v>405.11588651561385</v>
      </c>
      <c r="X128" s="2128">
        <f t="shared" ref="X128:X136" si="74">P128/O128</f>
        <v>1</v>
      </c>
      <c r="Y128" s="2128">
        <f t="shared" ref="Y128:Y136" si="75">Q128/O128</f>
        <v>1</v>
      </c>
      <c r="Z128" s="2128">
        <f t="shared" ref="Z128:Z136" si="76">T128/S128</f>
        <v>0.47488584474885848</v>
      </c>
      <c r="AA128" s="525" t="s">
        <v>1057</v>
      </c>
      <c r="AB128" s="579">
        <v>1500</v>
      </c>
    </row>
    <row r="129" spans="1:28" s="461" customFormat="1" ht="11.25" customHeight="1">
      <c r="A129" s="948"/>
      <c r="B129" s="521">
        <v>107</v>
      </c>
      <c r="C129" s="580" t="s">
        <v>444</v>
      </c>
      <c r="D129" s="473" t="s">
        <v>1176</v>
      </c>
      <c r="E129" s="473" t="s">
        <v>1060</v>
      </c>
      <c r="F129" s="474" t="s">
        <v>1180</v>
      </c>
      <c r="G129" s="475">
        <v>4</v>
      </c>
      <c r="H129" s="475">
        <v>3</v>
      </c>
      <c r="I129" s="475">
        <v>30</v>
      </c>
      <c r="J129" s="473">
        <v>900</v>
      </c>
      <c r="K129" s="475">
        <v>393</v>
      </c>
      <c r="L129" s="475">
        <v>393</v>
      </c>
      <c r="M129" s="2123">
        <f t="shared" si="70"/>
        <v>1</v>
      </c>
      <c r="N129" s="478">
        <v>107</v>
      </c>
      <c r="O129" s="473">
        <v>75006</v>
      </c>
      <c r="P129" s="473">
        <v>75006</v>
      </c>
      <c r="Q129" s="473">
        <v>75006</v>
      </c>
      <c r="R129" s="473">
        <v>270</v>
      </c>
      <c r="S129" s="473">
        <v>235</v>
      </c>
      <c r="T129" s="473">
        <f t="shared" si="71"/>
        <v>205.49589041095891</v>
      </c>
      <c r="U129" s="473">
        <f t="shared" si="72"/>
        <v>300</v>
      </c>
      <c r="V129" s="581">
        <f t="shared" si="72"/>
        <v>597.96437659033074</v>
      </c>
      <c r="W129" s="581">
        <f t="shared" si="73"/>
        <v>522.89030638920838</v>
      </c>
      <c r="X129" s="2124">
        <f t="shared" si="74"/>
        <v>1</v>
      </c>
      <c r="Y129" s="2124">
        <f t="shared" si="75"/>
        <v>1</v>
      </c>
      <c r="Z129" s="2124">
        <f t="shared" si="76"/>
        <v>0.87445059749344212</v>
      </c>
      <c r="AA129" s="582" t="s">
        <v>689</v>
      </c>
      <c r="AB129" s="583">
        <v>1500</v>
      </c>
    </row>
    <row r="130" spans="1:28" s="461" customFormat="1" ht="11.25" customHeight="1">
      <c r="A130" s="948"/>
      <c r="B130" s="573">
        <v>108</v>
      </c>
      <c r="C130" s="535" t="s">
        <v>446</v>
      </c>
      <c r="D130" s="491" t="s">
        <v>1177</v>
      </c>
      <c r="E130" s="491" t="s">
        <v>1056</v>
      </c>
      <c r="F130" s="492" t="s">
        <v>1171</v>
      </c>
      <c r="G130" s="493">
        <v>10</v>
      </c>
      <c r="H130" s="493">
        <v>4</v>
      </c>
      <c r="I130" s="493">
        <v>20</v>
      </c>
      <c r="J130" s="491">
        <v>1060</v>
      </c>
      <c r="K130" s="491">
        <v>122</v>
      </c>
      <c r="L130" s="491">
        <v>123</v>
      </c>
      <c r="M130" s="2131">
        <f t="shared" si="70"/>
        <v>0.99186991869918695</v>
      </c>
      <c r="N130" s="574">
        <v>108</v>
      </c>
      <c r="O130" s="491">
        <v>137422</v>
      </c>
      <c r="P130" s="491">
        <v>46435</v>
      </c>
      <c r="Q130" s="491">
        <v>45726</v>
      </c>
      <c r="R130" s="491">
        <v>1250</v>
      </c>
      <c r="S130" s="491">
        <v>588</v>
      </c>
      <c r="T130" s="491">
        <f t="shared" si="71"/>
        <v>376.49863013698632</v>
      </c>
      <c r="U130" s="491">
        <f t="shared" si="72"/>
        <v>1179.2452830188679</v>
      </c>
      <c r="V130" s="491">
        <f t="shared" si="72"/>
        <v>4819.6721311475403</v>
      </c>
      <c r="W130" s="491">
        <f t="shared" si="73"/>
        <v>3086.0543453851337</v>
      </c>
      <c r="X130" s="2132">
        <f t="shared" si="74"/>
        <v>0.33790077280202585</v>
      </c>
      <c r="Y130" s="2132">
        <f t="shared" si="75"/>
        <v>0.33274148244094831</v>
      </c>
      <c r="Z130" s="2132">
        <f t="shared" si="76"/>
        <v>0.64030379274997673</v>
      </c>
      <c r="AA130" s="584" t="s">
        <v>689</v>
      </c>
      <c r="AB130" s="585">
        <v>2970</v>
      </c>
    </row>
    <row r="131" spans="1:28" s="461" customFormat="1" ht="11.25" customHeight="1">
      <c r="A131" s="948"/>
      <c r="B131" s="586">
        <v>109</v>
      </c>
      <c r="C131" s="521" t="s">
        <v>447</v>
      </c>
      <c r="D131" s="478" t="s">
        <v>1178</v>
      </c>
      <c r="E131" s="478" t="s">
        <v>1070</v>
      </c>
      <c r="F131" s="479" t="s">
        <v>1171</v>
      </c>
      <c r="G131" s="480">
        <v>26</v>
      </c>
      <c r="H131" s="480">
        <v>3</v>
      </c>
      <c r="I131" s="480">
        <v>26</v>
      </c>
      <c r="J131" s="478">
        <v>150</v>
      </c>
      <c r="K131" s="478">
        <v>0</v>
      </c>
      <c r="L131" s="478">
        <v>0</v>
      </c>
      <c r="M131" s="2125">
        <v>0</v>
      </c>
      <c r="N131" s="587">
        <v>109</v>
      </c>
      <c r="O131" s="478">
        <v>22800</v>
      </c>
      <c r="P131" s="478">
        <v>22800</v>
      </c>
      <c r="Q131" s="478">
        <v>22800</v>
      </c>
      <c r="R131" s="478">
        <v>130</v>
      </c>
      <c r="S131" s="478">
        <v>100</v>
      </c>
      <c r="T131" s="478">
        <f t="shared" si="71"/>
        <v>62.465753424657535</v>
      </c>
      <c r="U131" s="478">
        <f t="shared" si="72"/>
        <v>866.66666666666674</v>
      </c>
      <c r="V131" s="479" t="s">
        <v>1079</v>
      </c>
      <c r="W131" s="479" t="s">
        <v>1079</v>
      </c>
      <c r="X131" s="2126">
        <f t="shared" si="74"/>
        <v>1</v>
      </c>
      <c r="Y131" s="2126">
        <f t="shared" si="75"/>
        <v>1</v>
      </c>
      <c r="Z131" s="2126">
        <f t="shared" si="76"/>
        <v>0.62465753424657533</v>
      </c>
      <c r="AA131" s="522" t="s">
        <v>689</v>
      </c>
      <c r="AB131" s="588">
        <v>1200</v>
      </c>
    </row>
    <row r="132" spans="1:28" s="461" customFormat="1" ht="11.25" customHeight="1">
      <c r="A132" s="948"/>
      <c r="B132" s="535">
        <v>110</v>
      </c>
      <c r="C132" s="538" t="s">
        <v>448</v>
      </c>
      <c r="D132" s="495" t="s">
        <v>1179</v>
      </c>
      <c r="E132" s="495" t="s">
        <v>1060</v>
      </c>
      <c r="F132" s="809" t="s">
        <v>1180</v>
      </c>
      <c r="G132" s="496">
        <v>31</v>
      </c>
      <c r="H132" s="496">
        <v>3</v>
      </c>
      <c r="I132" s="496">
        <v>1</v>
      </c>
      <c r="J132" s="495">
        <v>200</v>
      </c>
      <c r="K132" s="495">
        <v>94</v>
      </c>
      <c r="L132" s="495">
        <v>94</v>
      </c>
      <c r="M132" s="2133">
        <f t="shared" si="70"/>
        <v>1</v>
      </c>
      <c r="N132" s="491">
        <v>110</v>
      </c>
      <c r="O132" s="495">
        <v>10234</v>
      </c>
      <c r="P132" s="495">
        <v>10234</v>
      </c>
      <c r="Q132" s="495">
        <v>10234</v>
      </c>
      <c r="R132" s="495">
        <v>37</v>
      </c>
      <c r="S132" s="495">
        <v>37</v>
      </c>
      <c r="T132" s="495">
        <f t="shared" si="71"/>
        <v>28.038356164383561</v>
      </c>
      <c r="U132" s="495">
        <f t="shared" si="72"/>
        <v>185</v>
      </c>
      <c r="V132" s="495">
        <f t="shared" si="72"/>
        <v>393.61702127659578</v>
      </c>
      <c r="W132" s="495">
        <f t="shared" si="73"/>
        <v>298.28038472748472</v>
      </c>
      <c r="X132" s="2134">
        <f t="shared" si="74"/>
        <v>1</v>
      </c>
      <c r="Y132" s="2134">
        <f t="shared" si="75"/>
        <v>1</v>
      </c>
      <c r="Z132" s="2134">
        <f t="shared" si="76"/>
        <v>0.75779340984820431</v>
      </c>
      <c r="AA132" s="809" t="s">
        <v>710</v>
      </c>
      <c r="AB132" s="589">
        <v>1000</v>
      </c>
    </row>
    <row r="133" spans="1:28" s="461" customFormat="1" ht="11.25" customHeight="1">
      <c r="A133" s="948"/>
      <c r="B133" s="517">
        <v>111</v>
      </c>
      <c r="C133" s="518" t="s">
        <v>451</v>
      </c>
      <c r="D133" s="472" t="s">
        <v>1181</v>
      </c>
      <c r="E133" s="472" t="s">
        <v>1070</v>
      </c>
      <c r="F133" s="477" t="s">
        <v>1101</v>
      </c>
      <c r="G133" s="498">
        <v>2</v>
      </c>
      <c r="H133" s="498">
        <v>3</v>
      </c>
      <c r="I133" s="498">
        <v>16</v>
      </c>
      <c r="J133" s="472">
        <v>2010</v>
      </c>
      <c r="K133" s="472">
        <v>14</v>
      </c>
      <c r="L133" s="472">
        <v>14</v>
      </c>
      <c r="M133" s="2135">
        <f t="shared" si="70"/>
        <v>1</v>
      </c>
      <c r="N133" s="482">
        <v>111</v>
      </c>
      <c r="O133" s="472">
        <v>9681</v>
      </c>
      <c r="P133" s="472">
        <v>3608</v>
      </c>
      <c r="Q133" s="472">
        <v>3608</v>
      </c>
      <c r="R133" s="472">
        <v>620</v>
      </c>
      <c r="S133" s="472">
        <v>80</v>
      </c>
      <c r="T133" s="472">
        <f t="shared" si="71"/>
        <v>26.523287671232875</v>
      </c>
      <c r="U133" s="472">
        <f t="shared" si="72"/>
        <v>308.45771144278604</v>
      </c>
      <c r="V133" s="532">
        <f t="shared" si="72"/>
        <v>5714.2857142857147</v>
      </c>
      <c r="W133" s="532">
        <f t="shared" si="73"/>
        <v>1894.5205479452054</v>
      </c>
      <c r="X133" s="2136">
        <f t="shared" si="74"/>
        <v>0.37268877182109283</v>
      </c>
      <c r="Y133" s="2136">
        <f t="shared" si="75"/>
        <v>0.37268877182109283</v>
      </c>
      <c r="Z133" s="2136">
        <f t="shared" si="76"/>
        <v>0.33154109589041092</v>
      </c>
      <c r="AA133" s="519" t="s">
        <v>689</v>
      </c>
      <c r="AB133" s="590">
        <v>2530</v>
      </c>
    </row>
    <row r="134" spans="1:28" s="461" customFormat="1" ht="11.25" customHeight="1">
      <c r="A134" s="948"/>
      <c r="B134" s="586">
        <v>112</v>
      </c>
      <c r="C134" s="521" t="s">
        <v>451</v>
      </c>
      <c r="D134" s="478" t="s">
        <v>1182</v>
      </c>
      <c r="E134" s="478" t="s">
        <v>1070</v>
      </c>
      <c r="F134" s="479" t="s">
        <v>1171</v>
      </c>
      <c r="G134" s="480">
        <v>29</v>
      </c>
      <c r="H134" s="480">
        <v>3</v>
      </c>
      <c r="I134" s="480">
        <v>31</v>
      </c>
      <c r="J134" s="478">
        <v>588</v>
      </c>
      <c r="K134" s="478">
        <v>78</v>
      </c>
      <c r="L134" s="478">
        <v>78</v>
      </c>
      <c r="M134" s="2125">
        <f t="shared" si="70"/>
        <v>1</v>
      </c>
      <c r="N134" s="587">
        <v>112</v>
      </c>
      <c r="O134" s="478">
        <v>99391</v>
      </c>
      <c r="P134" s="478">
        <v>99390</v>
      </c>
      <c r="Q134" s="478">
        <v>95243</v>
      </c>
      <c r="R134" s="478">
        <v>1368</v>
      </c>
      <c r="S134" s="478">
        <v>868</v>
      </c>
      <c r="T134" s="478">
        <f t="shared" si="71"/>
        <v>272.3041095890411</v>
      </c>
      <c r="U134" s="478">
        <f t="shared" si="72"/>
        <v>2326.5306122448978</v>
      </c>
      <c r="V134" s="478">
        <f t="shared" si="72"/>
        <v>11128.205128205127</v>
      </c>
      <c r="W134" s="478">
        <f t="shared" si="73"/>
        <v>3491.0783280646297</v>
      </c>
      <c r="X134" s="2126">
        <f t="shared" si="74"/>
        <v>0.99998993872684649</v>
      </c>
      <c r="Y134" s="2126">
        <f t="shared" si="75"/>
        <v>0.95826583895926187</v>
      </c>
      <c r="Z134" s="2126">
        <f t="shared" si="76"/>
        <v>0.31371441196894134</v>
      </c>
      <c r="AA134" s="522" t="s">
        <v>689</v>
      </c>
      <c r="AB134" s="588">
        <v>2112</v>
      </c>
    </row>
    <row r="135" spans="1:28" s="461" customFormat="1" ht="11.25" customHeight="1" thickBot="1">
      <c r="A135" s="948"/>
      <c r="B135" s="591">
        <v>113</v>
      </c>
      <c r="C135" s="517" t="s">
        <v>453</v>
      </c>
      <c r="D135" s="482" t="s">
        <v>453</v>
      </c>
      <c r="E135" s="482" t="s">
        <v>1074</v>
      </c>
      <c r="F135" s="483" t="s">
        <v>1171</v>
      </c>
      <c r="G135" s="484">
        <v>8</v>
      </c>
      <c r="H135" s="484">
        <v>3</v>
      </c>
      <c r="I135" s="484">
        <v>29</v>
      </c>
      <c r="J135" s="488">
        <v>4120</v>
      </c>
      <c r="K135" s="488">
        <v>2239</v>
      </c>
      <c r="L135" s="488">
        <v>2246</v>
      </c>
      <c r="M135" s="2129">
        <f t="shared" si="70"/>
        <v>0.9968833481745325</v>
      </c>
      <c r="N135" s="592">
        <v>113</v>
      </c>
      <c r="O135" s="488">
        <v>338852</v>
      </c>
      <c r="P135" s="488">
        <v>236332</v>
      </c>
      <c r="Q135" s="488">
        <v>212916</v>
      </c>
      <c r="R135" s="488">
        <v>1790</v>
      </c>
      <c r="S135" s="488">
        <v>1581</v>
      </c>
      <c r="T135" s="488">
        <f t="shared" si="71"/>
        <v>928.36164383561641</v>
      </c>
      <c r="U135" s="488">
        <f t="shared" si="72"/>
        <v>434.46601941747571</v>
      </c>
      <c r="V135" s="488">
        <f t="shared" si="72"/>
        <v>706.11880303707005</v>
      </c>
      <c r="W135" s="488">
        <f t="shared" si="73"/>
        <v>414.63226611684524</v>
      </c>
      <c r="X135" s="2130">
        <f t="shared" si="74"/>
        <v>0.69744903379646572</v>
      </c>
      <c r="Y135" s="2130">
        <f t="shared" si="75"/>
        <v>0.62834511822270489</v>
      </c>
      <c r="Z135" s="2130">
        <f t="shared" si="76"/>
        <v>0.58719901570880229</v>
      </c>
      <c r="AA135" s="525" t="s">
        <v>710</v>
      </c>
      <c r="AB135" s="579">
        <v>2000</v>
      </c>
    </row>
    <row r="136" spans="1:28" s="461" customFormat="1" ht="11.25" customHeight="1" thickTop="1">
      <c r="A136" s="948"/>
      <c r="B136" s="502"/>
      <c r="C136" s="536"/>
      <c r="D136" s="503" t="s">
        <v>34</v>
      </c>
      <c r="E136" s="504"/>
      <c r="F136" s="505"/>
      <c r="G136" s="504"/>
      <c r="H136" s="504"/>
      <c r="I136" s="504"/>
      <c r="J136" s="504">
        <f>SUM(J128:J135)</f>
        <v>9398</v>
      </c>
      <c r="K136" s="504">
        <f>SUM(K128:K135)</f>
        <v>3151</v>
      </c>
      <c r="L136" s="504">
        <f>SUM(L128:L135)</f>
        <v>3159</v>
      </c>
      <c r="M136" s="541">
        <f t="shared" si="70"/>
        <v>0.99746755302310863</v>
      </c>
      <c r="N136" s="506"/>
      <c r="O136" s="504">
        <f t="shared" ref="O136:T136" si="77">SUM(O128:O135)</f>
        <v>724586</v>
      </c>
      <c r="P136" s="504">
        <f t="shared" si="77"/>
        <v>525005</v>
      </c>
      <c r="Q136" s="504">
        <f t="shared" si="77"/>
        <v>496733</v>
      </c>
      <c r="R136" s="504">
        <f t="shared" si="77"/>
        <v>5645</v>
      </c>
      <c r="S136" s="504">
        <f t="shared" si="77"/>
        <v>3669</v>
      </c>
      <c r="T136" s="504">
        <f t="shared" si="77"/>
        <v>1985.1671232876713</v>
      </c>
      <c r="U136" s="504">
        <f t="shared" si="72"/>
        <v>600.65971483294322</v>
      </c>
      <c r="V136" s="504">
        <f t="shared" si="72"/>
        <v>1164.3922564265313</v>
      </c>
      <c r="W136" s="504">
        <f t="shared" si="73"/>
        <v>630.01178143055256</v>
      </c>
      <c r="X136" s="2138">
        <f t="shared" si="74"/>
        <v>0.72455857551760594</v>
      </c>
      <c r="Y136" s="2138">
        <f t="shared" si="75"/>
        <v>0.68554043274366327</v>
      </c>
      <c r="Z136" s="2138">
        <f t="shared" si="76"/>
        <v>0.54106490141391972</v>
      </c>
      <c r="AA136" s="507" t="s">
        <v>1094</v>
      </c>
      <c r="AB136" s="508">
        <f>AVERAGE(AB128:AB135)</f>
        <v>1851.5</v>
      </c>
    </row>
    <row r="137" spans="1:28" s="461" customFormat="1" ht="11.25" customHeight="1">
      <c r="A137" s="949"/>
      <c r="B137" s="509"/>
      <c r="C137" s="537"/>
      <c r="D137" s="510"/>
      <c r="E137" s="511"/>
      <c r="F137" s="512"/>
      <c r="G137" s="511"/>
      <c r="H137" s="511"/>
      <c r="I137" s="511"/>
      <c r="J137" s="543"/>
      <c r="K137" s="543"/>
      <c r="L137" s="543"/>
      <c r="M137" s="542"/>
      <c r="N137" s="514"/>
      <c r="O137" s="543"/>
      <c r="P137" s="543"/>
      <c r="Q137" s="543"/>
      <c r="R137" s="543"/>
      <c r="S137" s="543"/>
      <c r="T137" s="543"/>
      <c r="U137" s="543"/>
      <c r="V137" s="543"/>
      <c r="W137" s="543"/>
      <c r="X137" s="593"/>
      <c r="Y137" s="593"/>
      <c r="Z137" s="593"/>
      <c r="AA137" s="516"/>
      <c r="AB137" s="511"/>
    </row>
    <row r="138" spans="1:28" s="461" customFormat="1" ht="11.25" customHeight="1">
      <c r="A138" s="947" t="s">
        <v>1183</v>
      </c>
      <c r="B138" s="535">
        <v>114</v>
      </c>
      <c r="C138" s="594" t="s">
        <v>457</v>
      </c>
      <c r="D138" s="595" t="s">
        <v>1184</v>
      </c>
      <c r="E138" s="574" t="s">
        <v>1056</v>
      </c>
      <c r="F138" s="596" t="s">
        <v>1171</v>
      </c>
      <c r="G138" s="597">
        <v>14</v>
      </c>
      <c r="H138" s="597">
        <v>3</v>
      </c>
      <c r="I138" s="597">
        <v>31</v>
      </c>
      <c r="J138" s="574">
        <v>310</v>
      </c>
      <c r="K138" s="574">
        <v>174</v>
      </c>
      <c r="L138" s="574">
        <v>174</v>
      </c>
      <c r="M138" s="2153">
        <f t="shared" ref="M138:M151" si="78">K138/L138</f>
        <v>1</v>
      </c>
      <c r="N138" s="491">
        <v>114</v>
      </c>
      <c r="O138" s="574">
        <v>179331</v>
      </c>
      <c r="P138" s="574">
        <v>108353</v>
      </c>
      <c r="Q138" s="574">
        <v>108353</v>
      </c>
      <c r="R138" s="574">
        <v>3650</v>
      </c>
      <c r="S138" s="574">
        <v>741</v>
      </c>
      <c r="T138" s="574">
        <f t="shared" ref="T138:T148" si="79">O138/365</f>
        <v>491.31780821917806</v>
      </c>
      <c r="U138" s="574">
        <f t="shared" ref="U138:V149" si="80">(R138/J138)*1000</f>
        <v>11774.193548387097</v>
      </c>
      <c r="V138" s="574">
        <f t="shared" si="80"/>
        <v>4258.620689655173</v>
      </c>
      <c r="W138" s="574">
        <f t="shared" ref="W138:W149" si="81">(T138/K138)*1000</f>
        <v>2823.6655644780344</v>
      </c>
      <c r="X138" s="2154">
        <f t="shared" ref="X138:X149" si="82">P138/O138</f>
        <v>0.60420674618442993</v>
      </c>
      <c r="Y138" s="2154">
        <f t="shared" ref="Y138:Y149" si="83">Q138/O138</f>
        <v>0.60420674618442993</v>
      </c>
      <c r="Z138" s="2154">
        <f t="shared" ref="Z138:Z149" si="84">T138/S138</f>
        <v>0.66304697465476126</v>
      </c>
      <c r="AA138" s="598" t="s">
        <v>710</v>
      </c>
      <c r="AB138" s="573">
        <v>2090</v>
      </c>
    </row>
    <row r="139" spans="1:28" s="461" customFormat="1" ht="11.25" customHeight="1">
      <c r="A139" s="948"/>
      <c r="B139" s="517">
        <v>115</v>
      </c>
      <c r="C139" s="517" t="s">
        <v>458</v>
      </c>
      <c r="D139" s="482" t="s">
        <v>1149</v>
      </c>
      <c r="E139" s="482" t="s">
        <v>1063</v>
      </c>
      <c r="F139" s="483" t="s">
        <v>1180</v>
      </c>
      <c r="G139" s="484">
        <v>2</v>
      </c>
      <c r="H139" s="484">
        <v>12</v>
      </c>
      <c r="I139" s="484">
        <v>1</v>
      </c>
      <c r="J139" s="482">
        <v>2000</v>
      </c>
      <c r="K139" s="482">
        <v>920</v>
      </c>
      <c r="L139" s="482">
        <v>920</v>
      </c>
      <c r="M139" s="2127">
        <f t="shared" si="78"/>
        <v>1</v>
      </c>
      <c r="N139" s="482">
        <v>115</v>
      </c>
      <c r="O139" s="482">
        <v>91238</v>
      </c>
      <c r="P139" s="482">
        <v>91238</v>
      </c>
      <c r="Q139" s="482">
        <v>88581</v>
      </c>
      <c r="R139" s="482">
        <v>2400</v>
      </c>
      <c r="S139" s="482">
        <v>1233</v>
      </c>
      <c r="T139" s="482">
        <f t="shared" si="79"/>
        <v>249.96712328767123</v>
      </c>
      <c r="U139" s="482">
        <f t="shared" si="80"/>
        <v>1200</v>
      </c>
      <c r="V139" s="482">
        <f t="shared" si="80"/>
        <v>1340.2173913043478</v>
      </c>
      <c r="W139" s="482">
        <f t="shared" si="81"/>
        <v>271.70339487790352</v>
      </c>
      <c r="X139" s="2128">
        <f t="shared" si="82"/>
        <v>1</v>
      </c>
      <c r="Y139" s="2128">
        <f t="shared" si="83"/>
        <v>0.970878362085973</v>
      </c>
      <c r="Z139" s="2128">
        <f t="shared" si="84"/>
        <v>0.20273083802730837</v>
      </c>
      <c r="AA139" s="525" t="s">
        <v>689</v>
      </c>
      <c r="AB139" s="517">
        <v>1980</v>
      </c>
    </row>
    <row r="140" spans="1:28" s="461" customFormat="1" ht="11.25" customHeight="1">
      <c r="A140" s="948"/>
      <c r="B140" s="518">
        <v>116</v>
      </c>
      <c r="C140" s="518" t="s">
        <v>458</v>
      </c>
      <c r="D140" s="472" t="s">
        <v>1185</v>
      </c>
      <c r="E140" s="472" t="s">
        <v>1063</v>
      </c>
      <c r="F140" s="477" t="s">
        <v>1180</v>
      </c>
      <c r="G140" s="498">
        <v>45</v>
      </c>
      <c r="H140" s="498">
        <v>4</v>
      </c>
      <c r="I140" s="498">
        <v>1</v>
      </c>
      <c r="J140" s="472">
        <v>340</v>
      </c>
      <c r="K140" s="472">
        <v>56</v>
      </c>
      <c r="L140" s="472">
        <v>56</v>
      </c>
      <c r="M140" s="2135">
        <f t="shared" si="78"/>
        <v>1</v>
      </c>
      <c r="N140" s="472">
        <v>116</v>
      </c>
      <c r="O140" s="472">
        <v>41347</v>
      </c>
      <c r="P140" s="472">
        <v>40893</v>
      </c>
      <c r="Q140" s="472">
        <v>36281</v>
      </c>
      <c r="R140" s="472">
        <v>1150</v>
      </c>
      <c r="S140" s="472">
        <v>614</v>
      </c>
      <c r="T140" s="472">
        <f t="shared" si="79"/>
        <v>113.27945205479452</v>
      </c>
      <c r="U140" s="472">
        <f t="shared" si="80"/>
        <v>3382.3529411764707</v>
      </c>
      <c r="V140" s="472">
        <f t="shared" si="80"/>
        <v>10964.285714285714</v>
      </c>
      <c r="W140" s="472">
        <f t="shared" si="81"/>
        <v>2022.8473581213309</v>
      </c>
      <c r="X140" s="2136">
        <f t="shared" si="82"/>
        <v>0.98901975959561761</v>
      </c>
      <c r="Y140" s="2136">
        <f t="shared" si="83"/>
        <v>0.87747599584008518</v>
      </c>
      <c r="Z140" s="2136">
        <f t="shared" si="84"/>
        <v>0.18449422158761322</v>
      </c>
      <c r="AA140" s="519" t="s">
        <v>689</v>
      </c>
      <c r="AB140" s="518">
        <v>2250</v>
      </c>
    </row>
    <row r="141" spans="1:28" s="461" customFormat="1" ht="11.25" customHeight="1">
      <c r="A141" s="948"/>
      <c r="B141" s="521">
        <v>117</v>
      </c>
      <c r="C141" s="521" t="s">
        <v>458</v>
      </c>
      <c r="D141" s="478" t="s">
        <v>1186</v>
      </c>
      <c r="E141" s="478" t="s">
        <v>1060</v>
      </c>
      <c r="F141" s="479" t="s">
        <v>1180</v>
      </c>
      <c r="G141" s="480">
        <v>12</v>
      </c>
      <c r="H141" s="480">
        <v>7</v>
      </c>
      <c r="I141" s="480">
        <v>1</v>
      </c>
      <c r="J141" s="478">
        <v>1800</v>
      </c>
      <c r="K141" s="478">
        <v>62</v>
      </c>
      <c r="L141" s="478">
        <v>62</v>
      </c>
      <c r="M141" s="2125">
        <f t="shared" si="78"/>
        <v>1</v>
      </c>
      <c r="N141" s="478">
        <v>117</v>
      </c>
      <c r="O141" s="478">
        <v>200000</v>
      </c>
      <c r="P141" s="478">
        <v>200000</v>
      </c>
      <c r="Q141" s="478">
        <v>192000</v>
      </c>
      <c r="R141" s="478">
        <v>600</v>
      </c>
      <c r="S141" s="478">
        <v>550</v>
      </c>
      <c r="T141" s="478">
        <f t="shared" si="79"/>
        <v>547.94520547945206</v>
      </c>
      <c r="U141" s="478">
        <f t="shared" si="80"/>
        <v>333.33333333333331</v>
      </c>
      <c r="V141" s="478">
        <f t="shared" si="80"/>
        <v>8870.9677419354848</v>
      </c>
      <c r="W141" s="478">
        <f t="shared" si="81"/>
        <v>8837.8258948298717</v>
      </c>
      <c r="X141" s="2126">
        <f t="shared" si="82"/>
        <v>1</v>
      </c>
      <c r="Y141" s="2126">
        <f t="shared" si="83"/>
        <v>0.96</v>
      </c>
      <c r="Z141" s="2126">
        <f t="shared" si="84"/>
        <v>0.99626400996264008</v>
      </c>
      <c r="AA141" s="522" t="s">
        <v>689</v>
      </c>
      <c r="AB141" s="521">
        <v>1500</v>
      </c>
    </row>
    <row r="142" spans="1:28" s="461" customFormat="1" ht="11.25" customHeight="1">
      <c r="A142" s="948"/>
      <c r="B142" s="539">
        <v>118</v>
      </c>
      <c r="C142" s="517" t="s">
        <v>459</v>
      </c>
      <c r="D142" s="482" t="s">
        <v>1187</v>
      </c>
      <c r="E142" s="482" t="s">
        <v>1074</v>
      </c>
      <c r="F142" s="483" t="s">
        <v>1171</v>
      </c>
      <c r="G142" s="484">
        <v>7</v>
      </c>
      <c r="H142" s="484">
        <v>3</v>
      </c>
      <c r="I142" s="484">
        <v>31</v>
      </c>
      <c r="J142" s="482">
        <v>300</v>
      </c>
      <c r="K142" s="482">
        <v>174</v>
      </c>
      <c r="L142" s="482">
        <v>184</v>
      </c>
      <c r="M142" s="2127">
        <f t="shared" si="78"/>
        <v>0.94565217391304346</v>
      </c>
      <c r="N142" s="467">
        <v>118</v>
      </c>
      <c r="O142" s="482">
        <v>32282</v>
      </c>
      <c r="P142" s="482">
        <v>31549</v>
      </c>
      <c r="Q142" s="482">
        <v>31528</v>
      </c>
      <c r="R142" s="482">
        <v>1210</v>
      </c>
      <c r="S142" s="482">
        <v>415</v>
      </c>
      <c r="T142" s="482">
        <f t="shared" si="79"/>
        <v>88.443835616438349</v>
      </c>
      <c r="U142" s="482">
        <f t="shared" si="80"/>
        <v>4033.333333333333</v>
      </c>
      <c r="V142" s="482">
        <f t="shared" si="80"/>
        <v>2385.0574712643679</v>
      </c>
      <c r="W142" s="482">
        <f t="shared" si="81"/>
        <v>508.29790584159974</v>
      </c>
      <c r="X142" s="2128">
        <f t="shared" si="82"/>
        <v>0.97729384796481011</v>
      </c>
      <c r="Y142" s="2128">
        <f t="shared" si="83"/>
        <v>0.97664333064865871</v>
      </c>
      <c r="Z142" s="2128">
        <f t="shared" si="84"/>
        <v>0.21311767618418878</v>
      </c>
      <c r="AA142" s="599" t="s">
        <v>689</v>
      </c>
      <c r="AB142" s="539">
        <v>1859</v>
      </c>
    </row>
    <row r="143" spans="1:28" s="461" customFormat="1" ht="11.25" customHeight="1">
      <c r="A143" s="948"/>
      <c r="B143" s="521">
        <v>119</v>
      </c>
      <c r="C143" s="521" t="s">
        <v>459</v>
      </c>
      <c r="D143" s="478" t="s">
        <v>1188</v>
      </c>
      <c r="E143" s="478" t="s">
        <v>1074</v>
      </c>
      <c r="F143" s="479" t="s">
        <v>1171</v>
      </c>
      <c r="G143" s="480">
        <v>9</v>
      </c>
      <c r="H143" s="480">
        <v>3</v>
      </c>
      <c r="I143" s="480">
        <v>19</v>
      </c>
      <c r="J143" s="478">
        <v>110</v>
      </c>
      <c r="K143" s="478">
        <v>36</v>
      </c>
      <c r="L143" s="478">
        <v>37</v>
      </c>
      <c r="M143" s="2125">
        <f t="shared" si="78"/>
        <v>0.97297297297297303</v>
      </c>
      <c r="N143" s="478">
        <v>119</v>
      </c>
      <c r="O143" s="478">
        <v>10385</v>
      </c>
      <c r="P143" s="478">
        <v>8770</v>
      </c>
      <c r="Q143" s="478">
        <v>8760</v>
      </c>
      <c r="R143" s="478">
        <v>131</v>
      </c>
      <c r="S143" s="478">
        <v>131</v>
      </c>
      <c r="T143" s="478">
        <f t="shared" si="79"/>
        <v>28.452054794520549</v>
      </c>
      <c r="U143" s="478">
        <f t="shared" si="80"/>
        <v>1190.909090909091</v>
      </c>
      <c r="V143" s="478">
        <f t="shared" si="80"/>
        <v>3638.8888888888887</v>
      </c>
      <c r="W143" s="478">
        <f t="shared" si="81"/>
        <v>790.33485540334857</v>
      </c>
      <c r="X143" s="2126">
        <f t="shared" si="82"/>
        <v>0.84448724121328844</v>
      </c>
      <c r="Y143" s="2126">
        <f t="shared" si="83"/>
        <v>0.8435243139142995</v>
      </c>
      <c r="Z143" s="2126">
        <f t="shared" si="84"/>
        <v>0.2171912579734393</v>
      </c>
      <c r="AA143" s="522" t="s">
        <v>689</v>
      </c>
      <c r="AB143" s="521">
        <v>1859</v>
      </c>
    </row>
    <row r="144" spans="1:28" s="461" customFormat="1" ht="11.25" customHeight="1">
      <c r="A144" s="948"/>
      <c r="B144" s="539">
        <v>120</v>
      </c>
      <c r="C144" s="517" t="s">
        <v>460</v>
      </c>
      <c r="D144" s="482" t="s">
        <v>1189</v>
      </c>
      <c r="E144" s="482" t="s">
        <v>1074</v>
      </c>
      <c r="F144" s="483" t="s">
        <v>1171</v>
      </c>
      <c r="G144" s="484">
        <v>1</v>
      </c>
      <c r="H144" s="484">
        <v>8</v>
      </c>
      <c r="I144" s="484">
        <v>25</v>
      </c>
      <c r="J144" s="482">
        <v>420</v>
      </c>
      <c r="K144" s="482">
        <v>30</v>
      </c>
      <c r="L144" s="482">
        <v>30</v>
      </c>
      <c r="M144" s="2127">
        <f t="shared" si="78"/>
        <v>1</v>
      </c>
      <c r="N144" s="467">
        <v>120</v>
      </c>
      <c r="O144" s="482">
        <v>24543</v>
      </c>
      <c r="P144" s="482">
        <v>3247</v>
      </c>
      <c r="Q144" s="482">
        <v>3247</v>
      </c>
      <c r="R144" s="482">
        <v>435</v>
      </c>
      <c r="S144" s="482">
        <v>136</v>
      </c>
      <c r="T144" s="482">
        <f t="shared" si="79"/>
        <v>67.241095890410961</v>
      </c>
      <c r="U144" s="482">
        <f t="shared" si="80"/>
        <v>1035.7142857142858</v>
      </c>
      <c r="V144" s="472">
        <f t="shared" si="80"/>
        <v>4533.333333333333</v>
      </c>
      <c r="W144" s="472">
        <f t="shared" si="81"/>
        <v>2241.3698630136987</v>
      </c>
      <c r="X144" s="2128">
        <f t="shared" si="82"/>
        <v>0.13229841502668785</v>
      </c>
      <c r="Y144" s="2128">
        <f t="shared" si="83"/>
        <v>0.13229841502668785</v>
      </c>
      <c r="Z144" s="2128">
        <f t="shared" si="84"/>
        <v>0.49441982272361001</v>
      </c>
      <c r="AA144" s="525" t="s">
        <v>689</v>
      </c>
      <c r="AB144" s="517">
        <v>1139</v>
      </c>
    </row>
    <row r="145" spans="1:28" s="461" customFormat="1" ht="11.25" customHeight="1">
      <c r="A145" s="948"/>
      <c r="B145" s="518">
        <v>121</v>
      </c>
      <c r="C145" s="518" t="s">
        <v>460</v>
      </c>
      <c r="D145" s="472" t="s">
        <v>1190</v>
      </c>
      <c r="E145" s="472" t="s">
        <v>1074</v>
      </c>
      <c r="F145" s="477" t="s">
        <v>1171</v>
      </c>
      <c r="G145" s="498">
        <v>6</v>
      </c>
      <c r="H145" s="498">
        <v>3</v>
      </c>
      <c r="I145" s="498">
        <v>31</v>
      </c>
      <c r="J145" s="472">
        <v>730</v>
      </c>
      <c r="K145" s="472">
        <v>387</v>
      </c>
      <c r="L145" s="472">
        <v>387</v>
      </c>
      <c r="M145" s="2135">
        <f t="shared" si="78"/>
        <v>1</v>
      </c>
      <c r="N145" s="472">
        <v>121</v>
      </c>
      <c r="O145" s="472">
        <v>44931</v>
      </c>
      <c r="P145" s="472">
        <v>44931</v>
      </c>
      <c r="Q145" s="472">
        <v>44895</v>
      </c>
      <c r="R145" s="472">
        <v>260</v>
      </c>
      <c r="S145" s="472">
        <v>253</v>
      </c>
      <c r="T145" s="472">
        <f t="shared" si="79"/>
        <v>123.0986301369863</v>
      </c>
      <c r="U145" s="472">
        <f t="shared" si="80"/>
        <v>356.16438356164383</v>
      </c>
      <c r="V145" s="472">
        <f t="shared" si="80"/>
        <v>653.74677002583985</v>
      </c>
      <c r="W145" s="472">
        <f t="shared" si="81"/>
        <v>318.08431559944785</v>
      </c>
      <c r="X145" s="2136">
        <f t="shared" si="82"/>
        <v>1</v>
      </c>
      <c r="Y145" s="2136">
        <f t="shared" si="83"/>
        <v>0.99919877144955593</v>
      </c>
      <c r="Z145" s="2136">
        <f t="shared" si="84"/>
        <v>0.48655585034381937</v>
      </c>
      <c r="AA145" s="519" t="s">
        <v>689</v>
      </c>
      <c r="AB145" s="518">
        <v>1139</v>
      </c>
    </row>
    <row r="146" spans="1:28" s="461" customFormat="1" ht="11.25" customHeight="1">
      <c r="A146" s="948"/>
      <c r="B146" s="518">
        <v>122</v>
      </c>
      <c r="C146" s="518" t="s">
        <v>460</v>
      </c>
      <c r="D146" s="472" t="s">
        <v>1191</v>
      </c>
      <c r="E146" s="472" t="s">
        <v>1074</v>
      </c>
      <c r="F146" s="477" t="s">
        <v>1180</v>
      </c>
      <c r="G146" s="498">
        <v>44</v>
      </c>
      <c r="H146" s="498">
        <v>9</v>
      </c>
      <c r="I146" s="498">
        <v>1</v>
      </c>
      <c r="J146" s="472">
        <v>300</v>
      </c>
      <c r="K146" s="472">
        <v>78</v>
      </c>
      <c r="L146" s="472">
        <v>78</v>
      </c>
      <c r="M146" s="2135">
        <f t="shared" si="78"/>
        <v>1</v>
      </c>
      <c r="N146" s="472">
        <v>122</v>
      </c>
      <c r="O146" s="472">
        <v>7750</v>
      </c>
      <c r="P146" s="472">
        <v>7750</v>
      </c>
      <c r="Q146" s="472">
        <v>7750</v>
      </c>
      <c r="R146" s="472">
        <v>45</v>
      </c>
      <c r="S146" s="472">
        <v>45</v>
      </c>
      <c r="T146" s="472">
        <f t="shared" si="79"/>
        <v>21.232876712328768</v>
      </c>
      <c r="U146" s="472">
        <f t="shared" si="80"/>
        <v>150</v>
      </c>
      <c r="V146" s="472">
        <f t="shared" si="80"/>
        <v>576.92307692307691</v>
      </c>
      <c r="W146" s="472">
        <f t="shared" si="81"/>
        <v>272.2163681067791</v>
      </c>
      <c r="X146" s="2136">
        <f t="shared" si="82"/>
        <v>1</v>
      </c>
      <c r="Y146" s="2136">
        <f t="shared" si="83"/>
        <v>1</v>
      </c>
      <c r="Z146" s="2136">
        <f t="shared" si="84"/>
        <v>0.47184170471841708</v>
      </c>
      <c r="AA146" s="519" t="s">
        <v>689</v>
      </c>
      <c r="AB146" s="518">
        <v>1139</v>
      </c>
    </row>
    <row r="147" spans="1:28" s="461" customFormat="1" ht="11.25" customHeight="1">
      <c r="A147" s="948"/>
      <c r="B147" s="521">
        <v>123</v>
      </c>
      <c r="C147" s="521" t="s">
        <v>460</v>
      </c>
      <c r="D147" s="478" t="s">
        <v>1192</v>
      </c>
      <c r="E147" s="478" t="s">
        <v>1074</v>
      </c>
      <c r="F147" s="479" t="s">
        <v>1180</v>
      </c>
      <c r="G147" s="480">
        <v>34</v>
      </c>
      <c r="H147" s="480">
        <v>10</v>
      </c>
      <c r="I147" s="480">
        <v>2</v>
      </c>
      <c r="J147" s="478">
        <v>330</v>
      </c>
      <c r="K147" s="478">
        <v>49</v>
      </c>
      <c r="L147" s="478">
        <v>49</v>
      </c>
      <c r="M147" s="2125">
        <f t="shared" si="78"/>
        <v>1</v>
      </c>
      <c r="N147" s="478">
        <v>123</v>
      </c>
      <c r="O147" s="478">
        <v>4517</v>
      </c>
      <c r="P147" s="478">
        <v>4517</v>
      </c>
      <c r="Q147" s="478">
        <v>4502</v>
      </c>
      <c r="R147" s="478">
        <v>49.5</v>
      </c>
      <c r="S147" s="478">
        <v>30</v>
      </c>
      <c r="T147" s="478">
        <f t="shared" si="79"/>
        <v>12.375342465753425</v>
      </c>
      <c r="U147" s="478">
        <f t="shared" si="80"/>
        <v>150</v>
      </c>
      <c r="V147" s="478">
        <f t="shared" si="80"/>
        <v>612.24489795918373</v>
      </c>
      <c r="W147" s="478">
        <f t="shared" si="81"/>
        <v>252.55800950517192</v>
      </c>
      <c r="X147" s="2126">
        <f t="shared" si="82"/>
        <v>1</v>
      </c>
      <c r="Y147" s="2126">
        <f t="shared" si="83"/>
        <v>0.99667921186628294</v>
      </c>
      <c r="Z147" s="2126">
        <f t="shared" si="84"/>
        <v>0.41251141552511417</v>
      </c>
      <c r="AA147" s="522" t="s">
        <v>689</v>
      </c>
      <c r="AB147" s="521">
        <v>1139</v>
      </c>
    </row>
    <row r="148" spans="1:28" s="461" customFormat="1" ht="11.25" customHeight="1" thickBot="1">
      <c r="A148" s="948"/>
      <c r="B148" s="517">
        <v>124</v>
      </c>
      <c r="C148" s="517" t="s">
        <v>1193</v>
      </c>
      <c r="D148" s="482" t="s">
        <v>1194</v>
      </c>
      <c r="E148" s="482" t="s">
        <v>1074</v>
      </c>
      <c r="F148" s="483" t="s">
        <v>1171</v>
      </c>
      <c r="G148" s="484">
        <v>29</v>
      </c>
      <c r="H148" s="484">
        <v>10</v>
      </c>
      <c r="I148" s="484">
        <v>31</v>
      </c>
      <c r="J148" s="488">
        <v>1870</v>
      </c>
      <c r="K148" s="488">
        <v>1477</v>
      </c>
      <c r="L148" s="551">
        <v>1503</v>
      </c>
      <c r="M148" s="2144">
        <f t="shared" si="78"/>
        <v>0.98270126413838987</v>
      </c>
      <c r="N148" s="482">
        <v>124</v>
      </c>
      <c r="O148" s="551">
        <v>168710</v>
      </c>
      <c r="P148" s="551">
        <v>166799</v>
      </c>
      <c r="Q148" s="551">
        <v>166799</v>
      </c>
      <c r="R148" s="551">
        <v>727</v>
      </c>
      <c r="S148" s="551">
        <v>614.6</v>
      </c>
      <c r="T148" s="551">
        <f t="shared" si="79"/>
        <v>462.21917808219177</v>
      </c>
      <c r="U148" s="551">
        <f t="shared" si="80"/>
        <v>388.77005347593587</v>
      </c>
      <c r="V148" s="551">
        <f t="shared" si="80"/>
        <v>416.1137440758294</v>
      </c>
      <c r="W148" s="551">
        <f t="shared" si="81"/>
        <v>312.94460262843046</v>
      </c>
      <c r="X148" s="2145">
        <f t="shared" si="82"/>
        <v>0.98867287060636599</v>
      </c>
      <c r="Y148" s="2145">
        <f t="shared" si="83"/>
        <v>0.98867287060636599</v>
      </c>
      <c r="Z148" s="2145">
        <f t="shared" si="84"/>
        <v>0.75206504731889323</v>
      </c>
      <c r="AA148" s="600" t="s">
        <v>710</v>
      </c>
      <c r="AB148" s="557">
        <v>1240</v>
      </c>
    </row>
    <row r="149" spans="1:28" s="461" customFormat="1" ht="11.25" customHeight="1" thickTop="1">
      <c r="A149" s="948"/>
      <c r="B149" s="502"/>
      <c r="C149" s="536"/>
      <c r="D149" s="503" t="s">
        <v>34</v>
      </c>
      <c r="E149" s="504"/>
      <c r="F149" s="505"/>
      <c r="G149" s="504"/>
      <c r="H149" s="504"/>
      <c r="I149" s="504"/>
      <c r="J149" s="504">
        <f>SUM(J138:J148)</f>
        <v>8510</v>
      </c>
      <c r="K149" s="504">
        <f t="shared" ref="K149:L149" si="85">SUM(K138:K148)</f>
        <v>3443</v>
      </c>
      <c r="L149" s="504">
        <f t="shared" si="85"/>
        <v>3480</v>
      </c>
      <c r="M149" s="531">
        <f t="shared" si="78"/>
        <v>0.98936781609195401</v>
      </c>
      <c r="N149" s="506"/>
      <c r="O149" s="530">
        <f t="shared" ref="O149:T149" si="86">SUM(O138:O148)</f>
        <v>805034</v>
      </c>
      <c r="P149" s="530">
        <f t="shared" si="86"/>
        <v>708047</v>
      </c>
      <c r="Q149" s="530">
        <f t="shared" si="86"/>
        <v>692696</v>
      </c>
      <c r="R149" s="530">
        <f t="shared" si="86"/>
        <v>10657.5</v>
      </c>
      <c r="S149" s="530">
        <f t="shared" si="86"/>
        <v>4762.6000000000004</v>
      </c>
      <c r="T149" s="530">
        <f t="shared" si="86"/>
        <v>2205.5726027397259</v>
      </c>
      <c r="U149" s="530">
        <f t="shared" si="80"/>
        <v>1252.3501762632197</v>
      </c>
      <c r="V149" s="530">
        <f t="shared" si="80"/>
        <v>1383.2704037176882</v>
      </c>
      <c r="W149" s="530">
        <f t="shared" si="81"/>
        <v>640.59616692992324</v>
      </c>
      <c r="X149" s="2141">
        <f t="shared" si="82"/>
        <v>0.87952434307122429</v>
      </c>
      <c r="Y149" s="2141">
        <f t="shared" si="83"/>
        <v>0.86045558324244686</v>
      </c>
      <c r="Z149" s="2141">
        <f t="shared" si="84"/>
        <v>0.46310263359083814</v>
      </c>
      <c r="AA149" s="565" t="s">
        <v>1094</v>
      </c>
      <c r="AB149" s="508">
        <f>AVERAGE(AB138:AB148)</f>
        <v>1575.8181818181818</v>
      </c>
    </row>
    <row r="150" spans="1:28" ht="11.25" customHeight="1">
      <c r="A150" s="949"/>
      <c r="B150" s="509"/>
      <c r="C150" s="601"/>
      <c r="D150" s="602"/>
      <c r="E150" s="511"/>
      <c r="F150" s="512"/>
      <c r="G150" s="511"/>
      <c r="H150" s="511"/>
      <c r="I150" s="511"/>
      <c r="J150" s="511"/>
      <c r="K150" s="511"/>
      <c r="L150" s="511"/>
      <c r="M150" s="513"/>
      <c r="N150" s="514"/>
      <c r="O150" s="511"/>
      <c r="P150" s="511"/>
      <c r="Q150" s="511"/>
      <c r="R150" s="511"/>
      <c r="S150" s="511"/>
      <c r="T150" s="511"/>
      <c r="U150" s="511"/>
      <c r="V150" s="511"/>
      <c r="W150" s="511"/>
      <c r="X150" s="515"/>
      <c r="Y150" s="515"/>
      <c r="Z150" s="515"/>
      <c r="AA150" s="512"/>
      <c r="AB150" s="511"/>
    </row>
    <row r="151" spans="1:28" ht="11.25" customHeight="1">
      <c r="A151" s="603" t="s">
        <v>774</v>
      </c>
      <c r="B151" s="604"/>
      <c r="C151" s="605"/>
      <c r="D151" s="605" t="s">
        <v>34</v>
      </c>
      <c r="E151" s="605"/>
      <c r="F151" s="606"/>
      <c r="G151" s="605"/>
      <c r="H151" s="605"/>
      <c r="I151" s="607"/>
      <c r="J151" s="608">
        <f>J32+J37+J53+J75+J87+J108+J117+J126+J136+J149</f>
        <v>136095</v>
      </c>
      <c r="K151" s="608">
        <f>K32+K37+K53+K75+K87+K108+K117+K126+K136+K149</f>
        <v>82815</v>
      </c>
      <c r="L151" s="608">
        <f>L32+L37+L53+L75+L87+L108+L117+L126+L136+L149</f>
        <v>83627</v>
      </c>
      <c r="M151" s="2155">
        <f t="shared" si="78"/>
        <v>0.99029021727432531</v>
      </c>
      <c r="N151" s="609"/>
      <c r="O151" s="608">
        <f>O32+O37+O53+O75+O87+O108+O117+O126+O136+O149</f>
        <v>16627697</v>
      </c>
      <c r="P151" s="608">
        <f>P32+P37+P53+P75+P87+P108+P117+P126+P136+P149</f>
        <v>11688284</v>
      </c>
      <c r="Q151" s="608">
        <f>Q32+Q37+Q53+Q75+Q87+Q108+Q117+Q126+Q136+Q149</f>
        <v>10598513</v>
      </c>
      <c r="R151" s="608">
        <f>R32+R37+R53+R75+R87+R108+R117+R126+R136+R149</f>
        <v>91943.4</v>
      </c>
      <c r="S151" s="608">
        <f>S32+S37+S53+S75+S87+S108+S117+S126+S136+S149</f>
        <v>70626.3</v>
      </c>
      <c r="T151" s="608">
        <f>ROUND(O151/365,0)</f>
        <v>45555</v>
      </c>
      <c r="U151" s="608">
        <f t="shared" ref="U151:V151" si="87">(R151/J151)*1000</f>
        <v>675.58249752011454</v>
      </c>
      <c r="V151" s="608">
        <f t="shared" si="87"/>
        <v>852.82014127875379</v>
      </c>
      <c r="W151" s="608">
        <f t="shared" ref="W151" si="88">(T151/K151)*1000</f>
        <v>550.08150697337442</v>
      </c>
      <c r="X151" s="2156">
        <f t="shared" ref="X151" si="89">P151/O151</f>
        <v>0.70294064174972637</v>
      </c>
      <c r="Y151" s="2156">
        <f t="shared" ref="Y151" si="90">Q151/O151</f>
        <v>0.6374011385942383</v>
      </c>
      <c r="Z151" s="2156">
        <f t="shared" ref="Z151" si="91">T151/S151</f>
        <v>0.64501467583605543</v>
      </c>
      <c r="AA151" s="610" t="s">
        <v>703</v>
      </c>
      <c r="AB151" s="611">
        <f>AVERAGE(AB7:AB31,AB34:AB36,AB39:AB52,AB55:AB74,AB77:AB86,AB89:AB107,AB110:AB116,AB119:AB125,AB128:AB135,AB138:AB148)</f>
        <v>1862.9758064516129</v>
      </c>
    </row>
    <row r="154" spans="1:28">
      <c r="O154" s="612"/>
      <c r="T154" s="613"/>
    </row>
    <row r="155" spans="1:28">
      <c r="O155" s="615"/>
      <c r="P155" s="612"/>
      <c r="Q155" s="612"/>
    </row>
    <row r="156" spans="1:28">
      <c r="M156" s="460"/>
      <c r="T156" s="612"/>
      <c r="Z156" s="460"/>
    </row>
    <row r="158" spans="1:28">
      <c r="S158" s="616"/>
      <c r="Z158" s="616"/>
    </row>
    <row r="159" spans="1:28">
      <c r="S159" s="613"/>
      <c r="U159" s="461"/>
      <c r="Z159" s="617"/>
    </row>
    <row r="160" spans="1:28">
      <c r="S160" s="613"/>
      <c r="U160" s="461"/>
      <c r="Z160" s="617"/>
    </row>
    <row r="161" spans="19:21">
      <c r="S161" s="613"/>
      <c r="U161" s="461"/>
    </row>
  </sheetData>
  <autoFilter ref="A6:AB151" xr:uid="{00000000-0009-0000-0000-000000000000}"/>
  <mergeCells count="45">
    <mergeCell ref="A138:A150"/>
    <mergeCell ref="A55:A76"/>
    <mergeCell ref="A77:A88"/>
    <mergeCell ref="A89:A109"/>
    <mergeCell ref="A110:A118"/>
    <mergeCell ref="A119:A127"/>
    <mergeCell ref="A128:A137"/>
    <mergeCell ref="Z5:Z6"/>
    <mergeCell ref="AA5:AA6"/>
    <mergeCell ref="AB5:AB6"/>
    <mergeCell ref="A7:A33"/>
    <mergeCell ref="A34:A38"/>
    <mergeCell ref="A39:A54"/>
    <mergeCell ref="T5:T6"/>
    <mergeCell ref="U5:U6"/>
    <mergeCell ref="V5:V6"/>
    <mergeCell ref="W5:W6"/>
    <mergeCell ref="X5:X6"/>
    <mergeCell ref="Y5:Y6"/>
    <mergeCell ref="U3:W4"/>
    <mergeCell ref="X3:Z4"/>
    <mergeCell ref="AA3:AB4"/>
    <mergeCell ref="F5:F6"/>
    <mergeCell ref="G5:G6"/>
    <mergeCell ref="H5:H6"/>
    <mergeCell ref="I5:I6"/>
    <mergeCell ref="J5:J6"/>
    <mergeCell ref="K5:K6"/>
    <mergeCell ref="O5:O6"/>
    <mergeCell ref="J3:K4"/>
    <mergeCell ref="L3:L6"/>
    <mergeCell ref="M3:M6"/>
    <mergeCell ref="N3:N6"/>
    <mergeCell ref="O3:Q4"/>
    <mergeCell ref="R3:T4"/>
    <mergeCell ref="P5:P6"/>
    <mergeCell ref="Q5:Q6"/>
    <mergeCell ref="R5:R6"/>
    <mergeCell ref="S5:S6"/>
    <mergeCell ref="A3:A6"/>
    <mergeCell ref="B3:B6"/>
    <mergeCell ref="C3:C6"/>
    <mergeCell ref="D3:D6"/>
    <mergeCell ref="E3:E6"/>
    <mergeCell ref="F3:I4"/>
  </mergeCells>
  <phoneticPr fontId="6"/>
  <pageMargins left="0.82677165354330717" right="0.19685039370078741" top="0.59055118110236227" bottom="0.59055118110236227" header="0.51181102362204722" footer="0.51181102362204722"/>
  <pageSetup paperSize="9" scale="85" fitToWidth="2" fitToHeight="0" pageOrder="overThenDown" orientation="portrait" r:id="rId1"/>
  <headerFooter alignWithMargins="0"/>
  <rowBreaks count="1" manualBreakCount="1">
    <brk id="76" max="27" man="1"/>
  </rowBreaks>
  <colBreaks count="1" manualBreakCount="1">
    <brk id="1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4468C2-69FB-4C30-A822-FD5A92D3025F}">
  <dimension ref="A1:AB159"/>
  <sheetViews>
    <sheetView view="pageBreakPreview" zoomScale="80" zoomScaleNormal="80" zoomScaleSheetLayoutView="80" workbookViewId="0">
      <pane xSplit="3" ySplit="6" topLeftCell="G7" activePane="bottomRight" state="frozen"/>
      <selection pane="topRight" activeCell="D1" sqref="D1"/>
      <selection pane="bottomLeft" activeCell="A7" sqref="A7"/>
      <selection pane="bottomRight"/>
    </sheetView>
  </sheetViews>
  <sheetFormatPr defaultRowHeight="13"/>
  <cols>
    <col min="1" max="1" width="5.6328125" style="460" customWidth="1"/>
    <col min="2" max="2" width="4.08984375" style="461" customWidth="1"/>
    <col min="3" max="3" width="23.90625" style="460" bestFit="1" customWidth="1"/>
    <col min="4" max="8" width="8.26953125" style="460" customWidth="1"/>
    <col min="9" max="9" width="4.6328125" style="460" customWidth="1"/>
    <col min="10" max="10" width="8.26953125" style="460" customWidth="1"/>
    <col min="11" max="11" width="4.6328125" style="460" customWidth="1"/>
    <col min="12" max="13" width="8.26953125" style="460" customWidth="1"/>
    <col min="14" max="14" width="4.08984375" style="461" customWidth="1"/>
    <col min="15" max="16" width="8.26953125" style="460" customWidth="1"/>
    <col min="17" max="17" width="8" style="465" bestFit="1" customWidth="1"/>
    <col min="18" max="18" width="5.7265625" style="2171" customWidth="1"/>
    <col min="19" max="19" width="8.6328125" style="465" customWidth="1"/>
    <col min="20" max="20" width="5.7265625" style="2171" customWidth="1"/>
    <col min="21" max="21" width="8.6328125" style="465" customWidth="1"/>
    <col min="22" max="22" width="5.7265625" style="2171" customWidth="1"/>
    <col min="23" max="23" width="8.6328125" style="465" customWidth="1"/>
    <col min="24" max="24" width="5.7265625" style="2171" customWidth="1"/>
    <col min="25" max="25" width="9.453125" style="465" customWidth="1"/>
    <col min="26" max="26" width="5.7265625" style="2171" customWidth="1"/>
    <col min="27" max="28" width="8.6328125" style="465" customWidth="1"/>
    <col min="29" max="16384" width="8.7265625" style="2016"/>
  </cols>
  <sheetData>
    <row r="1" spans="1:28" ht="16.5">
      <c r="A1" s="455" t="s">
        <v>1195</v>
      </c>
      <c r="B1" s="456"/>
      <c r="C1" s="455"/>
      <c r="D1" s="455"/>
      <c r="E1" s="455"/>
      <c r="F1" s="455"/>
      <c r="G1" s="455"/>
      <c r="H1" s="455"/>
      <c r="I1" s="455"/>
      <c r="J1" s="455"/>
      <c r="K1" s="455"/>
      <c r="L1" s="455"/>
      <c r="M1" s="455"/>
      <c r="N1" s="456"/>
      <c r="O1" s="455"/>
      <c r="P1" s="455"/>
      <c r="Q1" s="455"/>
      <c r="R1" s="2157"/>
      <c r="S1" s="455"/>
      <c r="T1" s="2157"/>
      <c r="U1" s="455"/>
      <c r="V1" s="2157"/>
      <c r="W1" s="455"/>
      <c r="X1" s="2157"/>
      <c r="Y1" s="455"/>
      <c r="Z1" s="2157"/>
      <c r="AA1" s="455"/>
      <c r="AB1" s="455"/>
    </row>
    <row r="3" spans="1:28" ht="20.149999999999999" customHeight="1">
      <c r="A3" s="953" t="s">
        <v>495</v>
      </c>
      <c r="B3" s="953" t="s">
        <v>496</v>
      </c>
      <c r="C3" s="953" t="s">
        <v>1027</v>
      </c>
      <c r="D3" s="958" t="s">
        <v>2268</v>
      </c>
      <c r="E3" s="959"/>
      <c r="F3" s="959"/>
      <c r="G3" s="959"/>
      <c r="H3" s="959"/>
      <c r="I3" s="959"/>
      <c r="J3" s="959"/>
      <c r="K3" s="959"/>
      <c r="L3" s="959"/>
      <c r="M3" s="960"/>
      <c r="N3" s="953" t="s">
        <v>496</v>
      </c>
      <c r="O3" s="958" t="s">
        <v>2268</v>
      </c>
      <c r="P3" s="960"/>
      <c r="Q3" s="958" t="s">
        <v>2269</v>
      </c>
      <c r="R3" s="959"/>
      <c r="S3" s="959"/>
      <c r="T3" s="959"/>
      <c r="U3" s="959"/>
      <c r="V3" s="959"/>
      <c r="W3" s="959"/>
      <c r="X3" s="959"/>
      <c r="Y3" s="959"/>
      <c r="Z3" s="959"/>
      <c r="AA3" s="959"/>
      <c r="AB3" s="960"/>
    </row>
    <row r="4" spans="1:28" ht="11.25" customHeight="1">
      <c r="A4" s="957"/>
      <c r="B4" s="957"/>
      <c r="C4" s="957"/>
      <c r="D4" s="961"/>
      <c r="E4" s="962"/>
      <c r="F4" s="962"/>
      <c r="G4" s="962"/>
      <c r="H4" s="962"/>
      <c r="I4" s="962"/>
      <c r="J4" s="962"/>
      <c r="K4" s="962"/>
      <c r="L4" s="962"/>
      <c r="M4" s="963"/>
      <c r="N4" s="957"/>
      <c r="O4" s="961"/>
      <c r="P4" s="963"/>
      <c r="Q4" s="961"/>
      <c r="R4" s="962"/>
      <c r="S4" s="962"/>
      <c r="T4" s="962"/>
      <c r="U4" s="962"/>
      <c r="V4" s="962"/>
      <c r="W4" s="962"/>
      <c r="X4" s="962"/>
      <c r="Y4" s="962"/>
      <c r="Z4" s="962"/>
      <c r="AA4" s="962"/>
      <c r="AB4" s="963"/>
    </row>
    <row r="5" spans="1:28" ht="13.5" customHeight="1">
      <c r="A5" s="957"/>
      <c r="B5" s="957"/>
      <c r="C5" s="957"/>
      <c r="D5" s="973" t="s">
        <v>66</v>
      </c>
      <c r="E5" s="974"/>
      <c r="F5" s="975"/>
      <c r="G5" s="973" t="s">
        <v>70</v>
      </c>
      <c r="H5" s="974"/>
      <c r="I5" s="974"/>
      <c r="J5" s="974"/>
      <c r="K5" s="975"/>
      <c r="L5" s="953" t="s">
        <v>1196</v>
      </c>
      <c r="M5" s="953" t="s">
        <v>1197</v>
      </c>
      <c r="N5" s="957"/>
      <c r="O5" s="953" t="s">
        <v>1198</v>
      </c>
      <c r="P5" s="953" t="s">
        <v>34</v>
      </c>
      <c r="Q5" s="973" t="s">
        <v>168</v>
      </c>
      <c r="R5" s="975"/>
      <c r="S5" s="973" t="s">
        <v>1199</v>
      </c>
      <c r="T5" s="975"/>
      <c r="U5" s="973" t="s">
        <v>1200</v>
      </c>
      <c r="V5" s="975"/>
      <c r="W5" s="973" t="s">
        <v>783</v>
      </c>
      <c r="X5" s="975"/>
      <c r="Y5" s="973" t="s">
        <v>1201</v>
      </c>
      <c r="Z5" s="975"/>
      <c r="AA5" s="618" t="s">
        <v>34</v>
      </c>
      <c r="AB5" s="953" t="s">
        <v>1202</v>
      </c>
    </row>
    <row r="6" spans="1:28" ht="25" customHeight="1">
      <c r="A6" s="954"/>
      <c r="B6" s="954"/>
      <c r="C6" s="954"/>
      <c r="D6" s="618" t="s">
        <v>529</v>
      </c>
      <c r="E6" s="618" t="s">
        <v>1203</v>
      </c>
      <c r="F6" s="618" t="s">
        <v>1204</v>
      </c>
      <c r="G6" s="618" t="s">
        <v>788</v>
      </c>
      <c r="H6" s="618" t="s">
        <v>1205</v>
      </c>
      <c r="I6" s="618" t="s">
        <v>1206</v>
      </c>
      <c r="J6" s="618" t="s">
        <v>1207</v>
      </c>
      <c r="K6" s="618" t="s">
        <v>1208</v>
      </c>
      <c r="L6" s="954"/>
      <c r="M6" s="954"/>
      <c r="N6" s="954"/>
      <c r="O6" s="954"/>
      <c r="P6" s="954"/>
      <c r="Q6" s="618" t="s">
        <v>1209</v>
      </c>
      <c r="R6" s="2158" t="s">
        <v>795</v>
      </c>
      <c r="S6" s="618" t="s">
        <v>1209</v>
      </c>
      <c r="T6" s="2158" t="s">
        <v>1210</v>
      </c>
      <c r="U6" s="618" t="s">
        <v>1209</v>
      </c>
      <c r="V6" s="2158" t="s">
        <v>1210</v>
      </c>
      <c r="W6" s="618" t="s">
        <v>1209</v>
      </c>
      <c r="X6" s="2158" t="s">
        <v>1210</v>
      </c>
      <c r="Y6" s="618" t="s">
        <v>1209</v>
      </c>
      <c r="Z6" s="2158" t="s">
        <v>1210</v>
      </c>
      <c r="AA6" s="618" t="s">
        <v>1209</v>
      </c>
      <c r="AB6" s="954"/>
    </row>
    <row r="7" spans="1:28">
      <c r="A7" s="947" t="s">
        <v>1054</v>
      </c>
      <c r="B7" s="535">
        <v>1</v>
      </c>
      <c r="C7" s="491" t="s">
        <v>1055</v>
      </c>
      <c r="D7" s="491">
        <v>0</v>
      </c>
      <c r="E7" s="493">
        <v>0</v>
      </c>
      <c r="F7" s="493">
        <v>0</v>
      </c>
      <c r="G7" s="491">
        <v>0</v>
      </c>
      <c r="H7" s="491">
        <v>0</v>
      </c>
      <c r="I7" s="491">
        <v>0</v>
      </c>
      <c r="J7" s="491">
        <v>0</v>
      </c>
      <c r="K7" s="491">
        <v>0</v>
      </c>
      <c r="L7" s="491">
        <v>0</v>
      </c>
      <c r="M7" s="493">
        <v>0</v>
      </c>
      <c r="N7" s="535">
        <v>1</v>
      </c>
      <c r="O7" s="491">
        <v>242644</v>
      </c>
      <c r="P7" s="491">
        <f>D7+E7+F7+G7+H7+J7+L7+M7+O7</f>
        <v>242644</v>
      </c>
      <c r="Q7" s="619">
        <v>242644</v>
      </c>
      <c r="R7" s="2132">
        <f>Q7/$AA7</f>
        <v>1</v>
      </c>
      <c r="S7" s="491">
        <v>0</v>
      </c>
      <c r="T7" s="2132">
        <f>S7/$AA7</f>
        <v>0</v>
      </c>
      <c r="U7" s="491">
        <v>0</v>
      </c>
      <c r="V7" s="2132">
        <f>U7/$AA7</f>
        <v>0</v>
      </c>
      <c r="W7" s="491">
        <v>0</v>
      </c>
      <c r="X7" s="2131">
        <f>W7/$AA7</f>
        <v>0</v>
      </c>
      <c r="Y7" s="491">
        <v>0</v>
      </c>
      <c r="Z7" s="2131">
        <f>Y7/$AA7</f>
        <v>0</v>
      </c>
      <c r="AA7" s="491">
        <f>Q7+S7+U7+W7+Y7</f>
        <v>242644</v>
      </c>
      <c r="AB7" s="491">
        <v>0</v>
      </c>
    </row>
    <row r="8" spans="1:28">
      <c r="A8" s="948"/>
      <c r="B8" s="538">
        <v>2</v>
      </c>
      <c r="C8" s="495" t="s">
        <v>1059</v>
      </c>
      <c r="D8" s="495">
        <v>0</v>
      </c>
      <c r="E8" s="496">
        <v>0</v>
      </c>
      <c r="F8" s="496">
        <v>0</v>
      </c>
      <c r="G8" s="495">
        <v>0</v>
      </c>
      <c r="H8" s="495">
        <v>0</v>
      </c>
      <c r="I8" s="495">
        <v>0</v>
      </c>
      <c r="J8" s="495">
        <v>26000</v>
      </c>
      <c r="K8" s="495">
        <v>2</v>
      </c>
      <c r="L8" s="495">
        <v>0</v>
      </c>
      <c r="M8" s="496">
        <v>0</v>
      </c>
      <c r="N8" s="538">
        <v>2</v>
      </c>
      <c r="O8" s="495">
        <v>0</v>
      </c>
      <c r="P8" s="495">
        <f t="shared" ref="P8:P31" si="0">D8+E8+F8+G8+H8+J8+L8+M8+O8</f>
        <v>26000</v>
      </c>
      <c r="Q8" s="620">
        <v>26000</v>
      </c>
      <c r="R8" s="2134">
        <f t="shared" ref="R8:Z32" si="1">Q8/$AA8</f>
        <v>1</v>
      </c>
      <c r="S8" s="495">
        <v>0</v>
      </c>
      <c r="T8" s="2134">
        <f t="shared" ref="T8:T31" si="2">S8/$AA8</f>
        <v>0</v>
      </c>
      <c r="U8" s="495">
        <v>0</v>
      </c>
      <c r="V8" s="2134">
        <f t="shared" ref="V8:V31" si="3">U8/$AA8</f>
        <v>0</v>
      </c>
      <c r="W8" s="495">
        <v>0</v>
      </c>
      <c r="X8" s="2133">
        <f t="shared" ref="X8:X31" si="4">W8/$AA8</f>
        <v>0</v>
      </c>
      <c r="Y8" s="495">
        <v>0</v>
      </c>
      <c r="Z8" s="2133">
        <f t="shared" ref="Z8:Z31" si="5">Y8/$AA8</f>
        <v>0</v>
      </c>
      <c r="AA8" s="495">
        <f t="shared" ref="AA8:AA31" si="6">Q8+S8+U8+W8+Y8</f>
        <v>26000</v>
      </c>
      <c r="AB8" s="495">
        <v>0</v>
      </c>
    </row>
    <row r="9" spans="1:28">
      <c r="A9" s="948"/>
      <c r="B9" s="517">
        <v>3</v>
      </c>
      <c r="C9" s="482" t="s">
        <v>1062</v>
      </c>
      <c r="D9" s="482">
        <v>0</v>
      </c>
      <c r="E9" s="484">
        <v>0</v>
      </c>
      <c r="F9" s="484">
        <v>0</v>
      </c>
      <c r="G9" s="482">
        <v>0</v>
      </c>
      <c r="H9" s="482">
        <v>0</v>
      </c>
      <c r="I9" s="482">
        <v>0</v>
      </c>
      <c r="J9" s="482">
        <v>0</v>
      </c>
      <c r="K9" s="482">
        <v>0</v>
      </c>
      <c r="L9" s="482">
        <v>0</v>
      </c>
      <c r="M9" s="484">
        <v>0</v>
      </c>
      <c r="N9" s="517">
        <v>3</v>
      </c>
      <c r="O9" s="482">
        <v>16310</v>
      </c>
      <c r="P9" s="482">
        <f t="shared" si="0"/>
        <v>16310</v>
      </c>
      <c r="Q9" s="621">
        <v>16310</v>
      </c>
      <c r="R9" s="2128">
        <f t="shared" si="1"/>
        <v>1</v>
      </c>
      <c r="S9" s="482">
        <v>0</v>
      </c>
      <c r="T9" s="2128">
        <f t="shared" si="2"/>
        <v>0</v>
      </c>
      <c r="U9" s="482">
        <v>0</v>
      </c>
      <c r="V9" s="2128">
        <f t="shared" si="3"/>
        <v>0</v>
      </c>
      <c r="W9" s="482">
        <v>0</v>
      </c>
      <c r="X9" s="2127">
        <f t="shared" si="4"/>
        <v>0</v>
      </c>
      <c r="Y9" s="482">
        <v>0</v>
      </c>
      <c r="Z9" s="2127">
        <f t="shared" si="5"/>
        <v>0</v>
      </c>
      <c r="AA9" s="482">
        <f t="shared" si="6"/>
        <v>16310</v>
      </c>
      <c r="AB9" s="482">
        <v>0</v>
      </c>
    </row>
    <row r="10" spans="1:28">
      <c r="A10" s="948"/>
      <c r="B10" s="518">
        <v>4</v>
      </c>
      <c r="C10" s="473" t="s">
        <v>1064</v>
      </c>
      <c r="D10" s="482">
        <v>0</v>
      </c>
      <c r="E10" s="484">
        <v>0</v>
      </c>
      <c r="F10" s="484">
        <v>0</v>
      </c>
      <c r="G10" s="482">
        <v>0</v>
      </c>
      <c r="H10" s="482">
        <v>0</v>
      </c>
      <c r="I10" s="482">
        <v>0</v>
      </c>
      <c r="J10" s="482">
        <v>0</v>
      </c>
      <c r="K10" s="482">
        <v>0</v>
      </c>
      <c r="L10" s="482">
        <v>0</v>
      </c>
      <c r="M10" s="484">
        <v>0</v>
      </c>
      <c r="N10" s="518">
        <v>4</v>
      </c>
      <c r="O10" s="482">
        <v>15084</v>
      </c>
      <c r="P10" s="482">
        <f t="shared" si="0"/>
        <v>15084</v>
      </c>
      <c r="Q10" s="621">
        <v>15084</v>
      </c>
      <c r="R10" s="2128">
        <f t="shared" si="1"/>
        <v>1</v>
      </c>
      <c r="S10" s="482">
        <v>0</v>
      </c>
      <c r="T10" s="2128">
        <f t="shared" si="2"/>
        <v>0</v>
      </c>
      <c r="U10" s="482">
        <v>0</v>
      </c>
      <c r="V10" s="2128">
        <f t="shared" si="3"/>
        <v>0</v>
      </c>
      <c r="W10" s="482">
        <v>0</v>
      </c>
      <c r="X10" s="2127">
        <f t="shared" si="4"/>
        <v>0</v>
      </c>
      <c r="Y10" s="482">
        <v>0</v>
      </c>
      <c r="Z10" s="2127">
        <f t="shared" si="5"/>
        <v>0</v>
      </c>
      <c r="AA10" s="482">
        <f t="shared" si="6"/>
        <v>15084</v>
      </c>
      <c r="AB10" s="482">
        <v>0</v>
      </c>
    </row>
    <row r="11" spans="1:28">
      <c r="A11" s="948"/>
      <c r="B11" s="521">
        <v>5</v>
      </c>
      <c r="C11" s="478" t="s">
        <v>1065</v>
      </c>
      <c r="D11" s="478">
        <v>0</v>
      </c>
      <c r="E11" s="480">
        <v>0</v>
      </c>
      <c r="F11" s="480">
        <v>0</v>
      </c>
      <c r="G11" s="478">
        <v>0</v>
      </c>
      <c r="H11" s="478">
        <v>0</v>
      </c>
      <c r="I11" s="478">
        <v>0</v>
      </c>
      <c r="J11" s="478">
        <v>0</v>
      </c>
      <c r="K11" s="478">
        <v>0</v>
      </c>
      <c r="L11" s="478">
        <v>0</v>
      </c>
      <c r="M11" s="480">
        <v>0</v>
      </c>
      <c r="N11" s="521">
        <v>5</v>
      </c>
      <c r="O11" s="478">
        <v>39874</v>
      </c>
      <c r="P11" s="478">
        <f t="shared" si="0"/>
        <v>39874</v>
      </c>
      <c r="Q11" s="622">
        <v>39872</v>
      </c>
      <c r="R11" s="2126">
        <f t="shared" si="1"/>
        <v>1</v>
      </c>
      <c r="S11" s="478">
        <v>0</v>
      </c>
      <c r="T11" s="2126">
        <f t="shared" si="2"/>
        <v>0</v>
      </c>
      <c r="U11" s="478">
        <v>0</v>
      </c>
      <c r="V11" s="2126">
        <f t="shared" si="3"/>
        <v>0</v>
      </c>
      <c r="W11" s="478">
        <v>0</v>
      </c>
      <c r="X11" s="2125">
        <f t="shared" si="4"/>
        <v>0</v>
      </c>
      <c r="Y11" s="478">
        <v>0</v>
      </c>
      <c r="Z11" s="2125">
        <f t="shared" si="5"/>
        <v>0</v>
      </c>
      <c r="AA11" s="478">
        <f t="shared" si="6"/>
        <v>39872</v>
      </c>
      <c r="AB11" s="478">
        <v>0</v>
      </c>
    </row>
    <row r="12" spans="1:28">
      <c r="A12" s="948"/>
      <c r="B12" s="517">
        <v>6</v>
      </c>
      <c r="C12" s="482" t="s">
        <v>1067</v>
      </c>
      <c r="D12" s="482">
        <v>0</v>
      </c>
      <c r="E12" s="484">
        <v>0</v>
      </c>
      <c r="F12" s="484">
        <v>0</v>
      </c>
      <c r="G12" s="482">
        <v>0</v>
      </c>
      <c r="H12" s="482">
        <v>0</v>
      </c>
      <c r="I12" s="482"/>
      <c r="J12" s="482">
        <v>91962</v>
      </c>
      <c r="K12" s="482">
        <v>1</v>
      </c>
      <c r="L12" s="482">
        <v>0</v>
      </c>
      <c r="M12" s="484">
        <v>0</v>
      </c>
      <c r="N12" s="517">
        <v>6</v>
      </c>
      <c r="O12" s="482">
        <v>0</v>
      </c>
      <c r="P12" s="482">
        <f t="shared" si="0"/>
        <v>91962</v>
      </c>
      <c r="Q12" s="621">
        <v>91962</v>
      </c>
      <c r="R12" s="2128">
        <f t="shared" si="1"/>
        <v>1</v>
      </c>
      <c r="S12" s="482">
        <v>0</v>
      </c>
      <c r="T12" s="2128">
        <f t="shared" si="2"/>
        <v>0</v>
      </c>
      <c r="U12" s="482">
        <v>0</v>
      </c>
      <c r="V12" s="2128">
        <f t="shared" si="3"/>
        <v>0</v>
      </c>
      <c r="W12" s="482">
        <v>0</v>
      </c>
      <c r="X12" s="2127">
        <f t="shared" si="4"/>
        <v>0</v>
      </c>
      <c r="Y12" s="482">
        <v>0</v>
      </c>
      <c r="Z12" s="2127">
        <f t="shared" si="5"/>
        <v>0</v>
      </c>
      <c r="AA12" s="482">
        <f t="shared" si="6"/>
        <v>91962</v>
      </c>
      <c r="AB12" s="482">
        <v>0</v>
      </c>
    </row>
    <row r="13" spans="1:28">
      <c r="A13" s="948"/>
      <c r="B13" s="521">
        <v>7</v>
      </c>
      <c r="C13" s="478" t="s">
        <v>1068</v>
      </c>
      <c r="D13" s="478">
        <v>0</v>
      </c>
      <c r="E13" s="480">
        <v>0</v>
      </c>
      <c r="F13" s="480">
        <v>0</v>
      </c>
      <c r="G13" s="478">
        <v>0</v>
      </c>
      <c r="H13" s="478">
        <v>0</v>
      </c>
      <c r="I13" s="478">
        <v>0</v>
      </c>
      <c r="J13" s="478">
        <v>0</v>
      </c>
      <c r="K13" s="478">
        <v>0</v>
      </c>
      <c r="L13" s="478">
        <v>0</v>
      </c>
      <c r="M13" s="480">
        <v>0</v>
      </c>
      <c r="N13" s="521">
        <v>7</v>
      </c>
      <c r="O13" s="478">
        <v>42540</v>
      </c>
      <c r="P13" s="478">
        <f t="shared" si="0"/>
        <v>42540</v>
      </c>
      <c r="Q13" s="622">
        <v>42540</v>
      </c>
      <c r="R13" s="2126">
        <f t="shared" si="1"/>
        <v>1</v>
      </c>
      <c r="S13" s="478">
        <v>0</v>
      </c>
      <c r="T13" s="2126">
        <f t="shared" si="2"/>
        <v>0</v>
      </c>
      <c r="U13" s="478">
        <v>0</v>
      </c>
      <c r="V13" s="2126">
        <f t="shared" si="3"/>
        <v>0</v>
      </c>
      <c r="W13" s="478">
        <v>0</v>
      </c>
      <c r="X13" s="2125">
        <f t="shared" si="4"/>
        <v>0</v>
      </c>
      <c r="Y13" s="478">
        <v>0</v>
      </c>
      <c r="Z13" s="2125">
        <f t="shared" si="5"/>
        <v>0</v>
      </c>
      <c r="AA13" s="478">
        <f t="shared" si="6"/>
        <v>42540</v>
      </c>
      <c r="AB13" s="478">
        <v>0</v>
      </c>
    </row>
    <row r="14" spans="1:28">
      <c r="A14" s="948"/>
      <c r="B14" s="517">
        <v>8</v>
      </c>
      <c r="C14" s="488" t="s">
        <v>1069</v>
      </c>
      <c r="D14" s="482">
        <v>0</v>
      </c>
      <c r="E14" s="484">
        <v>0</v>
      </c>
      <c r="F14" s="484">
        <v>0</v>
      </c>
      <c r="G14" s="482">
        <v>0</v>
      </c>
      <c r="H14" s="482">
        <v>0</v>
      </c>
      <c r="I14" s="482">
        <v>0</v>
      </c>
      <c r="J14" s="482">
        <v>32150</v>
      </c>
      <c r="K14" s="482">
        <v>1</v>
      </c>
      <c r="L14" s="482">
        <v>0</v>
      </c>
      <c r="M14" s="484">
        <v>0</v>
      </c>
      <c r="N14" s="517">
        <v>8</v>
      </c>
      <c r="O14" s="482">
        <v>0</v>
      </c>
      <c r="P14" s="482">
        <f t="shared" si="0"/>
        <v>32150</v>
      </c>
      <c r="Q14" s="621">
        <v>32150</v>
      </c>
      <c r="R14" s="2128">
        <f t="shared" si="1"/>
        <v>1</v>
      </c>
      <c r="S14" s="482">
        <v>0</v>
      </c>
      <c r="T14" s="2128">
        <f t="shared" si="2"/>
        <v>0</v>
      </c>
      <c r="U14" s="482">
        <v>0</v>
      </c>
      <c r="V14" s="2128">
        <f t="shared" si="3"/>
        <v>0</v>
      </c>
      <c r="W14" s="482">
        <v>0</v>
      </c>
      <c r="X14" s="2127">
        <f t="shared" si="4"/>
        <v>0</v>
      </c>
      <c r="Y14" s="482">
        <v>0</v>
      </c>
      <c r="Z14" s="2127">
        <f t="shared" si="5"/>
        <v>0</v>
      </c>
      <c r="AA14" s="482">
        <f t="shared" si="6"/>
        <v>32150</v>
      </c>
      <c r="AB14" s="482">
        <v>0</v>
      </c>
    </row>
    <row r="15" spans="1:28">
      <c r="A15" s="948"/>
      <c r="B15" s="521">
        <v>9</v>
      </c>
      <c r="C15" s="478" t="s">
        <v>1211</v>
      </c>
      <c r="D15" s="478">
        <v>0</v>
      </c>
      <c r="E15" s="480">
        <v>0</v>
      </c>
      <c r="F15" s="478">
        <v>255500</v>
      </c>
      <c r="G15" s="478">
        <v>0</v>
      </c>
      <c r="H15" s="478">
        <v>0</v>
      </c>
      <c r="I15" s="478">
        <v>0</v>
      </c>
      <c r="J15" s="478">
        <v>38500</v>
      </c>
      <c r="K15" s="478">
        <v>1</v>
      </c>
      <c r="L15" s="478">
        <v>0</v>
      </c>
      <c r="M15" s="480">
        <v>0</v>
      </c>
      <c r="N15" s="521">
        <v>9</v>
      </c>
      <c r="O15" s="478">
        <v>455500</v>
      </c>
      <c r="P15" s="478">
        <f t="shared" si="0"/>
        <v>749500</v>
      </c>
      <c r="Q15" s="622">
        <v>480500</v>
      </c>
      <c r="R15" s="2126">
        <f t="shared" si="1"/>
        <v>0.65329707681849081</v>
      </c>
      <c r="S15" s="478">
        <v>0</v>
      </c>
      <c r="T15" s="2126">
        <f t="shared" si="2"/>
        <v>0</v>
      </c>
      <c r="U15" s="478">
        <v>0</v>
      </c>
      <c r="V15" s="2126">
        <f t="shared" si="3"/>
        <v>0</v>
      </c>
      <c r="W15" s="478">
        <v>255000</v>
      </c>
      <c r="X15" s="2125">
        <f t="shared" si="4"/>
        <v>0.34670292318150919</v>
      </c>
      <c r="Y15" s="478">
        <v>0</v>
      </c>
      <c r="Z15" s="2125">
        <f t="shared" si="5"/>
        <v>0</v>
      </c>
      <c r="AA15" s="478">
        <f t="shared" si="6"/>
        <v>735500</v>
      </c>
      <c r="AB15" s="478">
        <v>0</v>
      </c>
    </row>
    <row r="16" spans="1:28">
      <c r="A16" s="948"/>
      <c r="B16" s="538">
        <v>10</v>
      </c>
      <c r="C16" s="495" t="s">
        <v>1073</v>
      </c>
      <c r="D16" s="495">
        <v>0</v>
      </c>
      <c r="E16" s="496">
        <v>0</v>
      </c>
      <c r="F16" s="495">
        <v>1000</v>
      </c>
      <c r="G16" s="495">
        <v>0</v>
      </c>
      <c r="H16" s="495">
        <v>0</v>
      </c>
      <c r="I16" s="495">
        <v>0</v>
      </c>
      <c r="J16" s="495">
        <v>656539</v>
      </c>
      <c r="K16" s="495">
        <v>5</v>
      </c>
      <c r="L16" s="495">
        <v>0</v>
      </c>
      <c r="M16" s="496">
        <v>0</v>
      </c>
      <c r="N16" s="538">
        <v>10</v>
      </c>
      <c r="O16" s="495">
        <v>165313</v>
      </c>
      <c r="P16" s="495">
        <f t="shared" si="0"/>
        <v>822852</v>
      </c>
      <c r="Q16" s="620">
        <v>700063</v>
      </c>
      <c r="R16" s="2134">
        <f t="shared" si="1"/>
        <v>0.99843260188087779</v>
      </c>
      <c r="S16" s="495">
        <v>1099</v>
      </c>
      <c r="T16" s="2134">
        <f t="shared" si="2"/>
        <v>1.567398119122257E-3</v>
      </c>
      <c r="U16" s="495">
        <v>0</v>
      </c>
      <c r="V16" s="2134">
        <f t="shared" si="3"/>
        <v>0</v>
      </c>
      <c r="W16" s="495">
        <v>0</v>
      </c>
      <c r="X16" s="2133">
        <f t="shared" si="4"/>
        <v>0</v>
      </c>
      <c r="Y16" s="495">
        <v>0</v>
      </c>
      <c r="Z16" s="2133">
        <f t="shared" si="5"/>
        <v>0</v>
      </c>
      <c r="AA16" s="495">
        <f t="shared" si="6"/>
        <v>701162</v>
      </c>
      <c r="AB16" s="495">
        <v>0</v>
      </c>
    </row>
    <row r="17" spans="1:28">
      <c r="A17" s="948"/>
      <c r="B17" s="538">
        <v>11</v>
      </c>
      <c r="C17" s="495" t="s">
        <v>369</v>
      </c>
      <c r="D17" s="495">
        <v>0</v>
      </c>
      <c r="E17" s="496">
        <v>0</v>
      </c>
      <c r="F17" s="495">
        <v>0</v>
      </c>
      <c r="G17" s="495">
        <v>0</v>
      </c>
      <c r="H17" s="495">
        <v>0</v>
      </c>
      <c r="I17" s="495">
        <v>0</v>
      </c>
      <c r="J17" s="495">
        <v>0</v>
      </c>
      <c r="K17" s="495">
        <v>0</v>
      </c>
      <c r="L17" s="495">
        <v>0</v>
      </c>
      <c r="M17" s="496">
        <v>0</v>
      </c>
      <c r="N17" s="538">
        <v>11</v>
      </c>
      <c r="O17" s="495">
        <v>200412</v>
      </c>
      <c r="P17" s="495">
        <f t="shared" si="0"/>
        <v>200412</v>
      </c>
      <c r="Q17" s="620">
        <v>200412</v>
      </c>
      <c r="R17" s="2134">
        <f t="shared" si="1"/>
        <v>1</v>
      </c>
      <c r="S17" s="495">
        <v>0</v>
      </c>
      <c r="T17" s="2134">
        <f t="shared" si="2"/>
        <v>0</v>
      </c>
      <c r="U17" s="495">
        <v>0</v>
      </c>
      <c r="V17" s="2134">
        <f t="shared" si="3"/>
        <v>0</v>
      </c>
      <c r="W17" s="495">
        <v>0</v>
      </c>
      <c r="X17" s="2133">
        <f t="shared" si="4"/>
        <v>0</v>
      </c>
      <c r="Y17" s="495">
        <v>0</v>
      </c>
      <c r="Z17" s="2133">
        <f t="shared" si="5"/>
        <v>0</v>
      </c>
      <c r="AA17" s="495">
        <f t="shared" si="6"/>
        <v>200412</v>
      </c>
      <c r="AB17" s="495">
        <v>0</v>
      </c>
    </row>
    <row r="18" spans="1:28">
      <c r="A18" s="948"/>
      <c r="B18" s="538">
        <v>12</v>
      </c>
      <c r="C18" s="495" t="s">
        <v>370</v>
      </c>
      <c r="D18" s="495">
        <v>0</v>
      </c>
      <c r="E18" s="496">
        <v>0</v>
      </c>
      <c r="F18" s="495">
        <v>32850</v>
      </c>
      <c r="G18" s="495">
        <v>0</v>
      </c>
      <c r="H18" s="495">
        <v>0</v>
      </c>
      <c r="I18" s="495"/>
      <c r="J18" s="495">
        <v>0</v>
      </c>
      <c r="K18" s="589"/>
      <c r="L18" s="589">
        <v>0</v>
      </c>
      <c r="M18" s="496">
        <v>0</v>
      </c>
      <c r="N18" s="538">
        <v>12</v>
      </c>
      <c r="O18" s="495">
        <v>146000</v>
      </c>
      <c r="P18" s="495">
        <f t="shared" si="0"/>
        <v>178850</v>
      </c>
      <c r="Q18" s="620">
        <v>146000</v>
      </c>
      <c r="R18" s="2134">
        <f t="shared" si="1"/>
        <v>0.81632653061224492</v>
      </c>
      <c r="S18" s="495">
        <v>0</v>
      </c>
      <c r="T18" s="2134">
        <f t="shared" si="2"/>
        <v>0</v>
      </c>
      <c r="U18" s="495">
        <v>18250</v>
      </c>
      <c r="V18" s="2134">
        <f t="shared" si="3"/>
        <v>0.10204081632653061</v>
      </c>
      <c r="W18" s="495">
        <v>14600</v>
      </c>
      <c r="X18" s="2133">
        <f t="shared" si="4"/>
        <v>8.1632653061224483E-2</v>
      </c>
      <c r="Y18" s="495">
        <v>0</v>
      </c>
      <c r="Z18" s="2133">
        <f t="shared" si="5"/>
        <v>0</v>
      </c>
      <c r="AA18" s="495">
        <f t="shared" si="6"/>
        <v>178850</v>
      </c>
      <c r="AB18" s="495">
        <v>0</v>
      </c>
    </row>
    <row r="19" spans="1:28">
      <c r="A19" s="948"/>
      <c r="B19" s="518">
        <v>13</v>
      </c>
      <c r="C19" s="472" t="s">
        <v>1075</v>
      </c>
      <c r="D19" s="472">
        <v>0</v>
      </c>
      <c r="E19" s="498">
        <v>0</v>
      </c>
      <c r="F19" s="498">
        <v>0</v>
      </c>
      <c r="G19" s="472">
        <v>0</v>
      </c>
      <c r="H19" s="472">
        <v>0</v>
      </c>
      <c r="I19" s="472">
        <v>0</v>
      </c>
      <c r="J19" s="472">
        <v>35840</v>
      </c>
      <c r="K19" s="472">
        <v>2</v>
      </c>
      <c r="L19" s="472">
        <v>0</v>
      </c>
      <c r="M19" s="498">
        <v>0</v>
      </c>
      <c r="N19" s="518">
        <v>13</v>
      </c>
      <c r="O19" s="472">
        <v>0</v>
      </c>
      <c r="P19" s="472">
        <f t="shared" si="0"/>
        <v>35840</v>
      </c>
      <c r="Q19" s="623">
        <v>35840</v>
      </c>
      <c r="R19" s="2136">
        <f t="shared" si="1"/>
        <v>1</v>
      </c>
      <c r="S19" s="472">
        <v>0</v>
      </c>
      <c r="T19" s="2136">
        <f t="shared" si="2"/>
        <v>0</v>
      </c>
      <c r="U19" s="472">
        <v>0</v>
      </c>
      <c r="V19" s="2136">
        <f t="shared" si="3"/>
        <v>0</v>
      </c>
      <c r="W19" s="472">
        <v>0</v>
      </c>
      <c r="X19" s="2135">
        <f t="shared" si="4"/>
        <v>0</v>
      </c>
      <c r="Y19" s="472">
        <v>0</v>
      </c>
      <c r="Z19" s="2135">
        <f t="shared" si="5"/>
        <v>0</v>
      </c>
      <c r="AA19" s="472">
        <f t="shared" si="6"/>
        <v>35840</v>
      </c>
      <c r="AB19" s="472">
        <v>0</v>
      </c>
    </row>
    <row r="20" spans="1:28">
      <c r="A20" s="948"/>
      <c r="B20" s="518">
        <v>14</v>
      </c>
      <c r="C20" s="482" t="s">
        <v>1076</v>
      </c>
      <c r="D20" s="472">
        <v>0</v>
      </c>
      <c r="E20" s="498">
        <v>0</v>
      </c>
      <c r="F20" s="498">
        <v>0</v>
      </c>
      <c r="G20" s="472">
        <v>0</v>
      </c>
      <c r="H20" s="472">
        <v>0</v>
      </c>
      <c r="I20" s="472">
        <v>0</v>
      </c>
      <c r="J20" s="472">
        <v>24000</v>
      </c>
      <c r="K20" s="472">
        <v>2</v>
      </c>
      <c r="L20" s="472">
        <v>0</v>
      </c>
      <c r="M20" s="498">
        <v>0</v>
      </c>
      <c r="N20" s="518">
        <v>14</v>
      </c>
      <c r="O20" s="472">
        <v>0</v>
      </c>
      <c r="P20" s="472">
        <f t="shared" si="0"/>
        <v>24000</v>
      </c>
      <c r="Q20" s="623">
        <v>0</v>
      </c>
      <c r="R20" s="2136">
        <f t="shared" si="1"/>
        <v>0</v>
      </c>
      <c r="S20" s="472">
        <v>0</v>
      </c>
      <c r="T20" s="2136">
        <f t="shared" si="2"/>
        <v>0</v>
      </c>
      <c r="U20" s="472">
        <v>23725</v>
      </c>
      <c r="V20" s="2136">
        <f t="shared" si="3"/>
        <v>1</v>
      </c>
      <c r="W20" s="472">
        <v>0</v>
      </c>
      <c r="X20" s="2135">
        <f t="shared" si="4"/>
        <v>0</v>
      </c>
      <c r="Y20" s="472">
        <v>0</v>
      </c>
      <c r="Z20" s="2135">
        <f t="shared" si="5"/>
        <v>0</v>
      </c>
      <c r="AA20" s="472">
        <f t="shared" si="6"/>
        <v>23725</v>
      </c>
      <c r="AB20" s="472">
        <v>23725</v>
      </c>
    </row>
    <row r="21" spans="1:28">
      <c r="A21" s="948"/>
      <c r="B21" s="518">
        <v>15</v>
      </c>
      <c r="C21" s="472" t="s">
        <v>1077</v>
      </c>
      <c r="D21" s="472">
        <v>0</v>
      </c>
      <c r="E21" s="498">
        <v>0</v>
      </c>
      <c r="F21" s="498">
        <v>0</v>
      </c>
      <c r="G21" s="472">
        <v>0</v>
      </c>
      <c r="H21" s="472">
        <v>0</v>
      </c>
      <c r="I21" s="472">
        <v>0</v>
      </c>
      <c r="J21" s="472">
        <v>0</v>
      </c>
      <c r="K21" s="472">
        <v>0</v>
      </c>
      <c r="L21" s="472">
        <v>0</v>
      </c>
      <c r="M21" s="498">
        <v>2097</v>
      </c>
      <c r="N21" s="518">
        <v>15</v>
      </c>
      <c r="O21" s="472">
        <v>0</v>
      </c>
      <c r="P21" s="472">
        <f t="shared" si="0"/>
        <v>2097</v>
      </c>
      <c r="Q21" s="623">
        <v>2097</v>
      </c>
      <c r="R21" s="2136">
        <f t="shared" si="1"/>
        <v>1</v>
      </c>
      <c r="S21" s="472">
        <v>0</v>
      </c>
      <c r="T21" s="2136">
        <f t="shared" si="2"/>
        <v>0</v>
      </c>
      <c r="U21" s="472">
        <v>0</v>
      </c>
      <c r="V21" s="2136">
        <f t="shared" si="3"/>
        <v>0</v>
      </c>
      <c r="W21" s="472">
        <v>0</v>
      </c>
      <c r="X21" s="2135">
        <f t="shared" si="4"/>
        <v>0</v>
      </c>
      <c r="Y21" s="472">
        <v>0</v>
      </c>
      <c r="Z21" s="2135">
        <f t="shared" si="5"/>
        <v>0</v>
      </c>
      <c r="AA21" s="472">
        <f t="shared" si="6"/>
        <v>2097</v>
      </c>
      <c r="AB21" s="472">
        <v>0</v>
      </c>
    </row>
    <row r="22" spans="1:28">
      <c r="A22" s="948"/>
      <c r="B22" s="518">
        <v>16</v>
      </c>
      <c r="C22" s="472" t="s">
        <v>1078</v>
      </c>
      <c r="D22" s="472">
        <v>0</v>
      </c>
      <c r="E22" s="498">
        <v>0</v>
      </c>
      <c r="F22" s="498">
        <v>0</v>
      </c>
      <c r="G22" s="472">
        <v>0</v>
      </c>
      <c r="H22" s="472">
        <v>0</v>
      </c>
      <c r="I22" s="472">
        <v>0</v>
      </c>
      <c r="J22" s="472">
        <v>19126</v>
      </c>
      <c r="K22" s="472">
        <v>1</v>
      </c>
      <c r="L22" s="472">
        <v>0</v>
      </c>
      <c r="M22" s="498">
        <v>0</v>
      </c>
      <c r="N22" s="518">
        <v>16</v>
      </c>
      <c r="O22" s="472">
        <v>0</v>
      </c>
      <c r="P22" s="472">
        <f t="shared" si="0"/>
        <v>19126</v>
      </c>
      <c r="Q22" s="623">
        <v>19126</v>
      </c>
      <c r="R22" s="2136">
        <f t="shared" si="1"/>
        <v>1</v>
      </c>
      <c r="S22" s="472">
        <v>0</v>
      </c>
      <c r="T22" s="2136">
        <f t="shared" si="2"/>
        <v>0</v>
      </c>
      <c r="U22" s="472">
        <v>0</v>
      </c>
      <c r="V22" s="2136">
        <f t="shared" si="3"/>
        <v>0</v>
      </c>
      <c r="W22" s="472">
        <v>0</v>
      </c>
      <c r="X22" s="2135">
        <f t="shared" si="4"/>
        <v>0</v>
      </c>
      <c r="Y22" s="472">
        <v>0</v>
      </c>
      <c r="Z22" s="2135">
        <f t="shared" si="5"/>
        <v>0</v>
      </c>
      <c r="AA22" s="472">
        <f t="shared" si="6"/>
        <v>19126</v>
      </c>
      <c r="AB22" s="472">
        <v>0</v>
      </c>
    </row>
    <row r="23" spans="1:28">
      <c r="A23" s="948"/>
      <c r="B23" s="518">
        <v>17</v>
      </c>
      <c r="C23" s="472" t="s">
        <v>1081</v>
      </c>
      <c r="D23" s="472">
        <v>0</v>
      </c>
      <c r="E23" s="472">
        <v>0</v>
      </c>
      <c r="F23" s="472">
        <v>0</v>
      </c>
      <c r="G23" s="472">
        <v>1928089</v>
      </c>
      <c r="H23" s="472">
        <v>0</v>
      </c>
      <c r="I23" s="472">
        <v>0</v>
      </c>
      <c r="J23" s="472">
        <v>0</v>
      </c>
      <c r="K23" s="472">
        <v>0</v>
      </c>
      <c r="L23" s="472">
        <v>0</v>
      </c>
      <c r="M23" s="472">
        <v>0</v>
      </c>
      <c r="N23" s="518">
        <v>17</v>
      </c>
      <c r="O23" s="472">
        <v>243021</v>
      </c>
      <c r="P23" s="472">
        <f t="shared" si="0"/>
        <v>2171110</v>
      </c>
      <c r="Q23" s="623">
        <v>1577978</v>
      </c>
      <c r="R23" s="2136">
        <f t="shared" si="1"/>
        <v>0.78115325173187755</v>
      </c>
      <c r="S23" s="472">
        <v>0</v>
      </c>
      <c r="T23" s="2136">
        <f t="shared" si="2"/>
        <v>0</v>
      </c>
      <c r="U23" s="472">
        <v>0</v>
      </c>
      <c r="V23" s="2136">
        <f t="shared" si="3"/>
        <v>0</v>
      </c>
      <c r="W23" s="472">
        <v>0</v>
      </c>
      <c r="X23" s="2135">
        <f t="shared" si="4"/>
        <v>0</v>
      </c>
      <c r="Y23" s="472">
        <v>442084</v>
      </c>
      <c r="Z23" s="2135">
        <f t="shared" si="5"/>
        <v>0.21884674826812248</v>
      </c>
      <c r="AA23" s="472">
        <f t="shared" si="6"/>
        <v>2020062</v>
      </c>
      <c r="AB23" s="472">
        <v>0</v>
      </c>
    </row>
    <row r="24" spans="1:28">
      <c r="A24" s="948"/>
      <c r="B24" s="517">
        <v>18</v>
      </c>
      <c r="C24" s="482" t="s">
        <v>1082</v>
      </c>
      <c r="D24" s="488">
        <v>0</v>
      </c>
      <c r="E24" s="488">
        <v>0</v>
      </c>
      <c r="F24" s="488">
        <v>0</v>
      </c>
      <c r="G24" s="488">
        <v>0</v>
      </c>
      <c r="H24" s="488">
        <v>0</v>
      </c>
      <c r="I24" s="488">
        <v>0</v>
      </c>
      <c r="J24" s="488">
        <v>0</v>
      </c>
      <c r="K24" s="488">
        <v>0</v>
      </c>
      <c r="L24" s="488">
        <v>0</v>
      </c>
      <c r="M24" s="488">
        <v>0</v>
      </c>
      <c r="N24" s="517">
        <v>18</v>
      </c>
      <c r="O24" s="488">
        <v>48592</v>
      </c>
      <c r="P24" s="488">
        <f t="shared" si="0"/>
        <v>48592</v>
      </c>
      <c r="Q24" s="621">
        <v>48592</v>
      </c>
      <c r="R24" s="2128">
        <f t="shared" si="1"/>
        <v>1</v>
      </c>
      <c r="S24" s="482">
        <v>0</v>
      </c>
      <c r="T24" s="2128">
        <f t="shared" si="2"/>
        <v>0</v>
      </c>
      <c r="U24" s="482">
        <v>0</v>
      </c>
      <c r="V24" s="2128">
        <f t="shared" si="3"/>
        <v>0</v>
      </c>
      <c r="W24" s="482">
        <v>0</v>
      </c>
      <c r="X24" s="2127">
        <f t="shared" si="4"/>
        <v>0</v>
      </c>
      <c r="Y24" s="482">
        <v>0</v>
      </c>
      <c r="Z24" s="2127">
        <f t="shared" si="5"/>
        <v>0</v>
      </c>
      <c r="AA24" s="482">
        <f t="shared" si="6"/>
        <v>48592</v>
      </c>
      <c r="AB24" s="482">
        <v>0</v>
      </c>
    </row>
    <row r="25" spans="1:28">
      <c r="A25" s="948"/>
      <c r="B25" s="518">
        <v>19</v>
      </c>
      <c r="C25" s="472" t="s">
        <v>1083</v>
      </c>
      <c r="D25" s="472">
        <v>0</v>
      </c>
      <c r="E25" s="498">
        <v>0</v>
      </c>
      <c r="F25" s="498">
        <v>0</v>
      </c>
      <c r="G25" s="472">
        <v>0</v>
      </c>
      <c r="H25" s="472">
        <v>0</v>
      </c>
      <c r="I25" s="472">
        <v>0</v>
      </c>
      <c r="J25" s="472">
        <v>0</v>
      </c>
      <c r="K25" s="472">
        <v>0</v>
      </c>
      <c r="L25" s="472">
        <v>0</v>
      </c>
      <c r="M25" s="498">
        <v>0</v>
      </c>
      <c r="N25" s="518">
        <v>19</v>
      </c>
      <c r="O25" s="472">
        <v>14903</v>
      </c>
      <c r="P25" s="472">
        <f t="shared" si="0"/>
        <v>14903</v>
      </c>
      <c r="Q25" s="623">
        <v>14903</v>
      </c>
      <c r="R25" s="2136">
        <f t="shared" si="1"/>
        <v>1</v>
      </c>
      <c r="S25" s="472">
        <v>0</v>
      </c>
      <c r="T25" s="2136">
        <f t="shared" si="2"/>
        <v>0</v>
      </c>
      <c r="U25" s="472">
        <v>0</v>
      </c>
      <c r="V25" s="2136">
        <f t="shared" si="3"/>
        <v>0</v>
      </c>
      <c r="W25" s="472">
        <v>0</v>
      </c>
      <c r="X25" s="2135">
        <f t="shared" si="4"/>
        <v>0</v>
      </c>
      <c r="Y25" s="472">
        <v>0</v>
      </c>
      <c r="Z25" s="2135">
        <f t="shared" si="5"/>
        <v>0</v>
      </c>
      <c r="AA25" s="472">
        <f t="shared" si="6"/>
        <v>14903</v>
      </c>
      <c r="AB25" s="472">
        <v>0</v>
      </c>
    </row>
    <row r="26" spans="1:28">
      <c r="A26" s="948"/>
      <c r="B26" s="517">
        <v>20</v>
      </c>
      <c r="C26" s="482" t="s">
        <v>1084</v>
      </c>
      <c r="D26" s="482">
        <v>0</v>
      </c>
      <c r="E26" s="484">
        <v>0</v>
      </c>
      <c r="F26" s="484">
        <v>0</v>
      </c>
      <c r="G26" s="482">
        <v>0</v>
      </c>
      <c r="H26" s="482">
        <v>0</v>
      </c>
      <c r="I26" s="482">
        <v>0</v>
      </c>
      <c r="J26" s="482">
        <v>76139</v>
      </c>
      <c r="K26" s="482">
        <v>2</v>
      </c>
      <c r="L26" s="482">
        <v>0</v>
      </c>
      <c r="M26" s="484">
        <v>0</v>
      </c>
      <c r="N26" s="517">
        <v>20</v>
      </c>
      <c r="O26" s="482">
        <v>0</v>
      </c>
      <c r="P26" s="482">
        <f t="shared" si="0"/>
        <v>76139</v>
      </c>
      <c r="Q26" s="621">
        <v>0</v>
      </c>
      <c r="R26" s="2128">
        <f t="shared" si="1"/>
        <v>0</v>
      </c>
      <c r="S26" s="482">
        <v>0</v>
      </c>
      <c r="T26" s="2128">
        <f t="shared" si="2"/>
        <v>0</v>
      </c>
      <c r="U26" s="482">
        <v>67896</v>
      </c>
      <c r="V26" s="2128">
        <f t="shared" si="3"/>
        <v>1</v>
      </c>
      <c r="W26" s="482">
        <v>0</v>
      </c>
      <c r="X26" s="2127">
        <f t="shared" si="4"/>
        <v>0</v>
      </c>
      <c r="Y26" s="482">
        <v>0</v>
      </c>
      <c r="Z26" s="2127">
        <f t="shared" si="5"/>
        <v>0</v>
      </c>
      <c r="AA26" s="482">
        <f t="shared" si="6"/>
        <v>67896</v>
      </c>
      <c r="AB26" s="482">
        <v>0</v>
      </c>
    </row>
    <row r="27" spans="1:28">
      <c r="A27" s="948"/>
      <c r="B27" s="518">
        <v>21</v>
      </c>
      <c r="C27" s="472" t="s">
        <v>1085</v>
      </c>
      <c r="D27" s="472">
        <v>0</v>
      </c>
      <c r="E27" s="498">
        <v>0</v>
      </c>
      <c r="F27" s="498">
        <v>0</v>
      </c>
      <c r="G27" s="472">
        <v>0</v>
      </c>
      <c r="H27" s="472">
        <v>0</v>
      </c>
      <c r="I27" s="472">
        <v>0</v>
      </c>
      <c r="J27" s="472">
        <v>13500</v>
      </c>
      <c r="K27" s="532">
        <v>1</v>
      </c>
      <c r="L27" s="532">
        <v>0</v>
      </c>
      <c r="M27" s="498">
        <v>0</v>
      </c>
      <c r="N27" s="518">
        <v>21</v>
      </c>
      <c r="O27" s="472">
        <v>0</v>
      </c>
      <c r="P27" s="472">
        <f t="shared" si="0"/>
        <v>13500</v>
      </c>
      <c r="Q27" s="623">
        <v>13000</v>
      </c>
      <c r="R27" s="2136">
        <f t="shared" si="1"/>
        <v>1</v>
      </c>
      <c r="S27" s="472">
        <v>0</v>
      </c>
      <c r="T27" s="2136">
        <f t="shared" si="2"/>
        <v>0</v>
      </c>
      <c r="U27" s="472">
        <v>0</v>
      </c>
      <c r="V27" s="2136">
        <f t="shared" si="3"/>
        <v>0</v>
      </c>
      <c r="W27" s="472">
        <v>0</v>
      </c>
      <c r="X27" s="2135">
        <f t="shared" si="4"/>
        <v>0</v>
      </c>
      <c r="Y27" s="472">
        <v>0</v>
      </c>
      <c r="Z27" s="2135">
        <f t="shared" si="5"/>
        <v>0</v>
      </c>
      <c r="AA27" s="472">
        <f t="shared" si="6"/>
        <v>13000</v>
      </c>
      <c r="AB27" s="472">
        <v>0</v>
      </c>
    </row>
    <row r="28" spans="1:28">
      <c r="A28" s="948"/>
      <c r="B28" s="521">
        <v>22</v>
      </c>
      <c r="C28" s="478" t="s">
        <v>1086</v>
      </c>
      <c r="D28" s="495">
        <v>0</v>
      </c>
      <c r="E28" s="496">
        <v>0</v>
      </c>
      <c r="F28" s="496">
        <v>0</v>
      </c>
      <c r="G28" s="495">
        <v>0</v>
      </c>
      <c r="H28" s="495">
        <v>0</v>
      </c>
      <c r="I28" s="495">
        <v>0</v>
      </c>
      <c r="J28" s="495">
        <v>0</v>
      </c>
      <c r="K28" s="495">
        <v>0</v>
      </c>
      <c r="L28" s="495">
        <v>0</v>
      </c>
      <c r="M28" s="496">
        <v>0</v>
      </c>
      <c r="N28" s="521">
        <v>22</v>
      </c>
      <c r="O28" s="495">
        <v>6825</v>
      </c>
      <c r="P28" s="495">
        <f t="shared" si="0"/>
        <v>6825</v>
      </c>
      <c r="Q28" s="620">
        <v>6825</v>
      </c>
      <c r="R28" s="2134">
        <f t="shared" si="1"/>
        <v>1</v>
      </c>
      <c r="S28" s="495">
        <v>0</v>
      </c>
      <c r="T28" s="2134">
        <f t="shared" si="2"/>
        <v>0</v>
      </c>
      <c r="U28" s="495">
        <v>0</v>
      </c>
      <c r="V28" s="2134">
        <f t="shared" si="3"/>
        <v>0</v>
      </c>
      <c r="W28" s="495">
        <v>0</v>
      </c>
      <c r="X28" s="2133">
        <f t="shared" si="4"/>
        <v>0</v>
      </c>
      <c r="Y28" s="495">
        <v>0</v>
      </c>
      <c r="Z28" s="2133">
        <f t="shared" si="5"/>
        <v>0</v>
      </c>
      <c r="AA28" s="495">
        <f t="shared" si="6"/>
        <v>6825</v>
      </c>
      <c r="AB28" s="495">
        <v>0</v>
      </c>
    </row>
    <row r="29" spans="1:28">
      <c r="A29" s="948"/>
      <c r="B29" s="517">
        <v>23</v>
      </c>
      <c r="C29" s="482" t="s">
        <v>1212</v>
      </c>
      <c r="D29" s="482">
        <v>0</v>
      </c>
      <c r="E29" s="484">
        <v>0</v>
      </c>
      <c r="F29" s="484">
        <v>0</v>
      </c>
      <c r="G29" s="482">
        <v>0</v>
      </c>
      <c r="H29" s="482">
        <v>0</v>
      </c>
      <c r="I29" s="482">
        <v>0</v>
      </c>
      <c r="J29" s="482">
        <v>0</v>
      </c>
      <c r="K29" s="482">
        <v>0</v>
      </c>
      <c r="L29" s="482">
        <v>0</v>
      </c>
      <c r="M29" s="484">
        <v>0</v>
      </c>
      <c r="N29" s="517">
        <v>23</v>
      </c>
      <c r="O29" s="482">
        <v>48250</v>
      </c>
      <c r="P29" s="482">
        <f t="shared" si="0"/>
        <v>48250</v>
      </c>
      <c r="Q29" s="621">
        <v>48250</v>
      </c>
      <c r="R29" s="2128">
        <f t="shared" si="1"/>
        <v>1</v>
      </c>
      <c r="S29" s="482">
        <v>0</v>
      </c>
      <c r="T29" s="2128">
        <f t="shared" si="2"/>
        <v>0</v>
      </c>
      <c r="U29" s="482">
        <v>0</v>
      </c>
      <c r="V29" s="2128">
        <f t="shared" si="3"/>
        <v>0</v>
      </c>
      <c r="W29" s="482">
        <v>0</v>
      </c>
      <c r="X29" s="2127">
        <f t="shared" si="4"/>
        <v>0</v>
      </c>
      <c r="Y29" s="482">
        <v>0</v>
      </c>
      <c r="Z29" s="2127">
        <f t="shared" si="5"/>
        <v>0</v>
      </c>
      <c r="AA29" s="482">
        <f t="shared" si="6"/>
        <v>48250</v>
      </c>
      <c r="AB29" s="482">
        <v>0</v>
      </c>
    </row>
    <row r="30" spans="1:28">
      <c r="A30" s="948"/>
      <c r="B30" s="517">
        <v>24</v>
      </c>
      <c r="C30" s="482" t="s">
        <v>1088</v>
      </c>
      <c r="D30" s="482">
        <v>0</v>
      </c>
      <c r="E30" s="484">
        <v>0</v>
      </c>
      <c r="F30" s="484">
        <v>0</v>
      </c>
      <c r="G30" s="482">
        <v>0</v>
      </c>
      <c r="H30" s="482">
        <v>0</v>
      </c>
      <c r="I30" s="482">
        <v>0</v>
      </c>
      <c r="J30" s="482">
        <v>0</v>
      </c>
      <c r="K30" s="482">
        <v>0</v>
      </c>
      <c r="L30" s="482">
        <v>0</v>
      </c>
      <c r="M30" s="484">
        <v>0</v>
      </c>
      <c r="N30" s="517">
        <v>24</v>
      </c>
      <c r="O30" s="482">
        <v>910620</v>
      </c>
      <c r="P30" s="482">
        <f t="shared" si="0"/>
        <v>910620</v>
      </c>
      <c r="Q30" s="621">
        <v>910620</v>
      </c>
      <c r="R30" s="2128">
        <f t="shared" si="1"/>
        <v>1</v>
      </c>
      <c r="S30" s="482">
        <v>0</v>
      </c>
      <c r="T30" s="2128">
        <f t="shared" si="2"/>
        <v>0</v>
      </c>
      <c r="U30" s="482">
        <v>0</v>
      </c>
      <c r="V30" s="2128">
        <f t="shared" si="3"/>
        <v>0</v>
      </c>
      <c r="W30" s="482">
        <v>0</v>
      </c>
      <c r="X30" s="2127">
        <f t="shared" si="4"/>
        <v>0</v>
      </c>
      <c r="Y30" s="482">
        <v>0</v>
      </c>
      <c r="Z30" s="2127">
        <f t="shared" si="5"/>
        <v>0</v>
      </c>
      <c r="AA30" s="482">
        <f t="shared" si="6"/>
        <v>910620</v>
      </c>
      <c r="AB30" s="482">
        <v>0</v>
      </c>
    </row>
    <row r="31" spans="1:28" ht="13.5" thickBot="1">
      <c r="A31" s="948"/>
      <c r="B31" s="538">
        <v>25</v>
      </c>
      <c r="C31" s="488" t="s">
        <v>1089</v>
      </c>
      <c r="D31" s="495">
        <v>0</v>
      </c>
      <c r="E31" s="496">
        <v>0</v>
      </c>
      <c r="F31" s="496">
        <v>0</v>
      </c>
      <c r="G31" s="495">
        <v>0</v>
      </c>
      <c r="H31" s="495">
        <v>0</v>
      </c>
      <c r="I31" s="495">
        <v>0</v>
      </c>
      <c r="J31" s="495">
        <v>0</v>
      </c>
      <c r="K31" s="495">
        <v>0</v>
      </c>
      <c r="L31" s="495">
        <v>0</v>
      </c>
      <c r="M31" s="496">
        <v>0</v>
      </c>
      <c r="N31" s="538">
        <v>25</v>
      </c>
      <c r="O31" s="495">
        <v>310250</v>
      </c>
      <c r="P31" s="495">
        <f t="shared" si="0"/>
        <v>310250</v>
      </c>
      <c r="Q31" s="620">
        <v>310250</v>
      </c>
      <c r="R31" s="2134">
        <f t="shared" si="1"/>
        <v>1</v>
      </c>
      <c r="S31" s="495">
        <v>0</v>
      </c>
      <c r="T31" s="2134">
        <f t="shared" si="2"/>
        <v>0</v>
      </c>
      <c r="U31" s="495">
        <v>0</v>
      </c>
      <c r="V31" s="2134">
        <f t="shared" si="3"/>
        <v>0</v>
      </c>
      <c r="W31" s="495">
        <v>0</v>
      </c>
      <c r="X31" s="2133">
        <f t="shared" si="4"/>
        <v>0</v>
      </c>
      <c r="Y31" s="495">
        <v>0</v>
      </c>
      <c r="Z31" s="2133">
        <f t="shared" si="5"/>
        <v>0</v>
      </c>
      <c r="AA31" s="495">
        <f t="shared" si="6"/>
        <v>310250</v>
      </c>
      <c r="AB31" s="495">
        <v>0</v>
      </c>
    </row>
    <row r="32" spans="1:28" ht="13.5" thickTop="1">
      <c r="A32" s="948"/>
      <c r="B32" s="502"/>
      <c r="C32" s="503" t="s">
        <v>34</v>
      </c>
      <c r="D32" s="624">
        <f t="shared" ref="D32:M32" si="7">SUM(D7:D31)</f>
        <v>0</v>
      </c>
      <c r="E32" s="624">
        <f t="shared" si="7"/>
        <v>0</v>
      </c>
      <c r="F32" s="624">
        <f t="shared" si="7"/>
        <v>289350</v>
      </c>
      <c r="G32" s="624">
        <f t="shared" si="7"/>
        <v>1928089</v>
      </c>
      <c r="H32" s="624">
        <f t="shared" si="7"/>
        <v>0</v>
      </c>
      <c r="I32" s="624">
        <f t="shared" si="7"/>
        <v>0</v>
      </c>
      <c r="J32" s="624">
        <f t="shared" si="7"/>
        <v>1013756</v>
      </c>
      <c r="K32" s="624">
        <f t="shared" si="7"/>
        <v>18</v>
      </c>
      <c r="L32" s="624">
        <f t="shared" si="7"/>
        <v>0</v>
      </c>
      <c r="M32" s="624">
        <f t="shared" si="7"/>
        <v>2097</v>
      </c>
      <c r="N32" s="502"/>
      <c r="O32" s="624">
        <f>SUM(O7:O31)</f>
        <v>2906138</v>
      </c>
      <c r="P32" s="624">
        <f>SUM(P7:P31)</f>
        <v>6139430</v>
      </c>
      <c r="Q32" s="624">
        <f>SUM(Q7:Q31)</f>
        <v>5021018</v>
      </c>
      <c r="R32" s="2159">
        <f t="shared" si="1"/>
        <v>0.85922310492443787</v>
      </c>
      <c r="S32" s="624">
        <f>SUM(S7:S31)</f>
        <v>1099</v>
      </c>
      <c r="T32" s="2159">
        <f t="shared" si="1"/>
        <v>1.8806668136062393E-4</v>
      </c>
      <c r="U32" s="624">
        <f>SUM(U7:U31)</f>
        <v>109871</v>
      </c>
      <c r="V32" s="2159">
        <f t="shared" si="1"/>
        <v>1.8801705502978265E-2</v>
      </c>
      <c r="W32" s="624">
        <f>SUM(W7:W31)</f>
        <v>269600</v>
      </c>
      <c r="X32" s="2159">
        <f t="shared" si="1"/>
        <v>4.6135375154526127E-2</v>
      </c>
      <c r="Y32" s="624">
        <f>SUM(Y7:Y31)</f>
        <v>442084</v>
      </c>
      <c r="Z32" s="2159">
        <f t="shared" si="1"/>
        <v>7.565174773669707E-2</v>
      </c>
      <c r="AA32" s="624">
        <f>SUM(AA7:AA31)</f>
        <v>5843672</v>
      </c>
      <c r="AB32" s="624">
        <f>SUM(AB7:AB31)</f>
        <v>23725</v>
      </c>
    </row>
    <row r="33" spans="1:28">
      <c r="A33" s="949"/>
      <c r="B33" s="509"/>
      <c r="C33" s="537"/>
      <c r="D33" s="511"/>
      <c r="E33" s="511"/>
      <c r="F33" s="511"/>
      <c r="G33" s="511"/>
      <c r="H33" s="511"/>
      <c r="I33" s="511"/>
      <c r="J33" s="511"/>
      <c r="K33" s="511"/>
      <c r="L33" s="511"/>
      <c r="M33" s="511"/>
      <c r="N33" s="509"/>
      <c r="O33" s="511"/>
      <c r="P33" s="511"/>
      <c r="Q33" s="625"/>
      <c r="R33" s="2160"/>
      <c r="S33" s="511"/>
      <c r="T33" s="2160"/>
      <c r="U33" s="511"/>
      <c r="V33" s="2160"/>
      <c r="W33" s="511"/>
      <c r="X33" s="2161"/>
      <c r="Y33" s="511"/>
      <c r="Z33" s="2161"/>
      <c r="AA33" s="511"/>
      <c r="AB33" s="511"/>
    </row>
    <row r="34" spans="1:28">
      <c r="A34" s="947" t="s">
        <v>1091</v>
      </c>
      <c r="B34" s="517">
        <v>26</v>
      </c>
      <c r="C34" s="482" t="s">
        <v>1092</v>
      </c>
      <c r="D34" s="482">
        <v>0</v>
      </c>
      <c r="E34" s="482">
        <v>0</v>
      </c>
      <c r="F34" s="482">
        <v>0</v>
      </c>
      <c r="G34" s="482">
        <v>73545</v>
      </c>
      <c r="H34" s="482">
        <v>0</v>
      </c>
      <c r="I34" s="482">
        <v>0</v>
      </c>
      <c r="J34" s="482">
        <v>0</v>
      </c>
      <c r="K34" s="482">
        <v>0</v>
      </c>
      <c r="L34" s="482">
        <v>0</v>
      </c>
      <c r="M34" s="484">
        <v>0</v>
      </c>
      <c r="N34" s="517">
        <v>26</v>
      </c>
      <c r="O34" s="482">
        <v>0</v>
      </c>
      <c r="P34" s="482">
        <f t="shared" ref="P34:P36" si="8">D34+E34+F34+G34+H34+J34+L34+M34+O34</f>
        <v>73545</v>
      </c>
      <c r="Q34" s="621">
        <v>73545</v>
      </c>
      <c r="R34" s="2128">
        <f t="shared" ref="R34:R36" si="9">Q34/$AA34</f>
        <v>1</v>
      </c>
      <c r="S34" s="482">
        <v>0</v>
      </c>
      <c r="T34" s="2128">
        <f t="shared" ref="T34:T37" si="10">S34/$AA34</f>
        <v>0</v>
      </c>
      <c r="U34" s="482">
        <v>0</v>
      </c>
      <c r="V34" s="2128">
        <f t="shared" ref="V34:V37" si="11">U34/$AA34</f>
        <v>0</v>
      </c>
      <c r="W34" s="482">
        <v>0</v>
      </c>
      <c r="X34" s="2127">
        <f t="shared" ref="X34:X37" si="12">W34/$AA34</f>
        <v>0</v>
      </c>
      <c r="Y34" s="482">
        <v>0</v>
      </c>
      <c r="Z34" s="2127">
        <f t="shared" ref="Z34:Z37" si="13">Y34/$AA34</f>
        <v>0</v>
      </c>
      <c r="AA34" s="482">
        <f t="shared" ref="AA34:AA36" si="14">Q34+S34+U34+W34+Y34</f>
        <v>73545</v>
      </c>
      <c r="AB34" s="482">
        <v>0</v>
      </c>
    </row>
    <row r="35" spans="1:28">
      <c r="A35" s="948"/>
      <c r="B35" s="521">
        <v>27</v>
      </c>
      <c r="C35" s="478" t="s">
        <v>1093</v>
      </c>
      <c r="D35" s="478">
        <v>0</v>
      </c>
      <c r="E35" s="478">
        <v>0</v>
      </c>
      <c r="F35" s="478">
        <v>0</v>
      </c>
      <c r="G35" s="478">
        <v>0</v>
      </c>
      <c r="H35" s="478">
        <v>0</v>
      </c>
      <c r="I35" s="478">
        <v>0</v>
      </c>
      <c r="J35" s="478">
        <v>71752</v>
      </c>
      <c r="K35" s="478">
        <v>2</v>
      </c>
      <c r="L35" s="478">
        <v>0</v>
      </c>
      <c r="M35" s="480">
        <v>0</v>
      </c>
      <c r="N35" s="521">
        <v>27</v>
      </c>
      <c r="O35" s="478">
        <v>0</v>
      </c>
      <c r="P35" s="478">
        <f t="shared" si="8"/>
        <v>71752</v>
      </c>
      <c r="Q35" s="622">
        <v>71752</v>
      </c>
      <c r="R35" s="2126">
        <f t="shared" si="9"/>
        <v>1</v>
      </c>
      <c r="S35" s="478">
        <v>0</v>
      </c>
      <c r="T35" s="2126">
        <f t="shared" si="10"/>
        <v>0</v>
      </c>
      <c r="U35" s="478">
        <v>0</v>
      </c>
      <c r="V35" s="2126">
        <f t="shared" si="11"/>
        <v>0</v>
      </c>
      <c r="W35" s="478">
        <v>0</v>
      </c>
      <c r="X35" s="2125">
        <f t="shared" si="12"/>
        <v>0</v>
      </c>
      <c r="Y35" s="478">
        <v>0</v>
      </c>
      <c r="Z35" s="2125">
        <f t="shared" si="13"/>
        <v>0</v>
      </c>
      <c r="AA35" s="478">
        <f t="shared" si="14"/>
        <v>71752</v>
      </c>
      <c r="AB35" s="478">
        <v>0</v>
      </c>
    </row>
    <row r="36" spans="1:28" ht="13.5" thickBot="1">
      <c r="A36" s="948"/>
      <c r="B36" s="517">
        <v>28</v>
      </c>
      <c r="C36" s="482" t="s">
        <v>379</v>
      </c>
      <c r="D36" s="482">
        <v>0</v>
      </c>
      <c r="E36" s="482">
        <v>0</v>
      </c>
      <c r="F36" s="482">
        <v>708100</v>
      </c>
      <c r="G36" s="482">
        <v>0</v>
      </c>
      <c r="H36" s="482">
        <v>0</v>
      </c>
      <c r="I36" s="482">
        <v>0</v>
      </c>
      <c r="J36" s="482">
        <v>0</v>
      </c>
      <c r="K36" s="482">
        <v>0</v>
      </c>
      <c r="L36" s="482">
        <v>0</v>
      </c>
      <c r="M36" s="484">
        <v>0</v>
      </c>
      <c r="N36" s="517">
        <v>28</v>
      </c>
      <c r="O36" s="482">
        <v>237250</v>
      </c>
      <c r="P36" s="482">
        <f t="shared" si="8"/>
        <v>945350</v>
      </c>
      <c r="Q36" s="621">
        <v>219000</v>
      </c>
      <c r="R36" s="2128">
        <f t="shared" si="9"/>
        <v>0.25</v>
      </c>
      <c r="S36" s="482">
        <v>36500</v>
      </c>
      <c r="T36" s="2128">
        <f t="shared" si="10"/>
        <v>4.1666666666666664E-2</v>
      </c>
      <c r="U36" s="482">
        <v>620500</v>
      </c>
      <c r="V36" s="2128">
        <f t="shared" si="11"/>
        <v>0.70833333333333337</v>
      </c>
      <c r="W36" s="482">
        <v>0</v>
      </c>
      <c r="X36" s="2127">
        <f t="shared" si="12"/>
        <v>0</v>
      </c>
      <c r="Y36" s="482">
        <v>0</v>
      </c>
      <c r="Z36" s="2127">
        <f t="shared" si="13"/>
        <v>0</v>
      </c>
      <c r="AA36" s="482">
        <f t="shared" si="14"/>
        <v>876000</v>
      </c>
      <c r="AB36" s="482">
        <v>0</v>
      </c>
    </row>
    <row r="37" spans="1:28" ht="13.5" thickTop="1">
      <c r="A37" s="948"/>
      <c r="B37" s="502"/>
      <c r="C37" s="536" t="s">
        <v>34</v>
      </c>
      <c r="D37" s="624">
        <f>SUM(D34:D36)</f>
        <v>0</v>
      </c>
      <c r="E37" s="624">
        <f t="shared" ref="E37:M37" si="15">SUM(E34:E36)</f>
        <v>0</v>
      </c>
      <c r="F37" s="624">
        <f t="shared" si="15"/>
        <v>708100</v>
      </c>
      <c r="G37" s="624">
        <f t="shared" si="15"/>
        <v>73545</v>
      </c>
      <c r="H37" s="624">
        <f t="shared" si="15"/>
        <v>0</v>
      </c>
      <c r="I37" s="624">
        <f t="shared" si="15"/>
        <v>0</v>
      </c>
      <c r="J37" s="624">
        <f t="shared" si="15"/>
        <v>71752</v>
      </c>
      <c r="K37" s="624">
        <f t="shared" si="15"/>
        <v>2</v>
      </c>
      <c r="L37" s="624">
        <f t="shared" si="15"/>
        <v>0</v>
      </c>
      <c r="M37" s="624">
        <f t="shared" si="15"/>
        <v>0</v>
      </c>
      <c r="N37" s="502"/>
      <c r="O37" s="624">
        <f>SUM(O34:O36)</f>
        <v>237250</v>
      </c>
      <c r="P37" s="624">
        <f>SUM(P34:P36)</f>
        <v>1090647</v>
      </c>
      <c r="Q37" s="624">
        <f>SUM(Q34:Q36)</f>
        <v>364297</v>
      </c>
      <c r="R37" s="2159">
        <f>Q37/$AA37</f>
        <v>0.35670035259087218</v>
      </c>
      <c r="S37" s="624">
        <f>SUM(S34:S36)</f>
        <v>36500</v>
      </c>
      <c r="T37" s="2159">
        <f t="shared" si="10"/>
        <v>3.5738869300507098E-2</v>
      </c>
      <c r="U37" s="624">
        <f>SUM(U34:U36)</f>
        <v>620500</v>
      </c>
      <c r="V37" s="2159">
        <f t="shared" si="11"/>
        <v>0.60756077810862075</v>
      </c>
      <c r="W37" s="624">
        <f>SUM(W34:W36)</f>
        <v>0</v>
      </c>
      <c r="X37" s="2159">
        <f t="shared" si="12"/>
        <v>0</v>
      </c>
      <c r="Y37" s="624">
        <f>SUM(Y34:Y36)</f>
        <v>0</v>
      </c>
      <c r="Z37" s="2159">
        <f t="shared" si="13"/>
        <v>0</v>
      </c>
      <c r="AA37" s="624">
        <f>SUM(AA34:AA36)</f>
        <v>1021297</v>
      </c>
      <c r="AB37" s="624">
        <f>SUM(AB34:AB36)</f>
        <v>0</v>
      </c>
    </row>
    <row r="38" spans="1:28">
      <c r="A38" s="949"/>
      <c r="B38" s="509"/>
      <c r="C38" s="537"/>
      <c r="D38" s="511"/>
      <c r="E38" s="511"/>
      <c r="F38" s="511"/>
      <c r="G38" s="511"/>
      <c r="H38" s="511"/>
      <c r="I38" s="511"/>
      <c r="J38" s="511"/>
      <c r="K38" s="511"/>
      <c r="L38" s="511"/>
      <c r="M38" s="511"/>
      <c r="N38" s="509"/>
      <c r="O38" s="511"/>
      <c r="P38" s="511"/>
      <c r="Q38" s="625"/>
      <c r="R38" s="2160"/>
      <c r="S38" s="511"/>
      <c r="T38" s="2160"/>
      <c r="U38" s="511"/>
      <c r="V38" s="2160"/>
      <c r="W38" s="511"/>
      <c r="X38" s="2161"/>
      <c r="Y38" s="511"/>
      <c r="Z38" s="2161"/>
      <c r="AA38" s="511"/>
      <c r="AB38" s="511"/>
    </row>
    <row r="39" spans="1:28">
      <c r="A39" s="947" t="s">
        <v>1095</v>
      </c>
      <c r="B39" s="535">
        <v>29</v>
      </c>
      <c r="C39" s="491" t="s">
        <v>1096</v>
      </c>
      <c r="D39" s="491">
        <v>0</v>
      </c>
      <c r="E39" s="491">
        <v>0</v>
      </c>
      <c r="F39" s="491">
        <v>0</v>
      </c>
      <c r="G39" s="491">
        <v>25550</v>
      </c>
      <c r="H39" s="491">
        <v>0</v>
      </c>
      <c r="I39" s="491">
        <v>0</v>
      </c>
      <c r="J39" s="491">
        <v>0</v>
      </c>
      <c r="K39" s="491">
        <v>0</v>
      </c>
      <c r="L39" s="491">
        <v>0</v>
      </c>
      <c r="M39" s="493">
        <v>0</v>
      </c>
      <c r="N39" s="535">
        <v>29</v>
      </c>
      <c r="O39" s="491">
        <v>0</v>
      </c>
      <c r="P39" s="491">
        <f t="shared" ref="P39:P52" si="16">D39+E39+F39+G39+H39+J39+L39+M39+O39</f>
        <v>25550</v>
      </c>
      <c r="Q39" s="619">
        <v>25550</v>
      </c>
      <c r="R39" s="2132">
        <f t="shared" ref="R39:R52" si="17">Q39/$AA39</f>
        <v>1</v>
      </c>
      <c r="S39" s="491">
        <v>0</v>
      </c>
      <c r="T39" s="2132">
        <f t="shared" ref="T39:T52" si="18">S39/$AA39</f>
        <v>0</v>
      </c>
      <c r="U39" s="491">
        <v>0</v>
      </c>
      <c r="V39" s="2132">
        <f t="shared" ref="V39:V52" si="19">U39/$AA39</f>
        <v>0</v>
      </c>
      <c r="W39" s="491">
        <v>0</v>
      </c>
      <c r="X39" s="2131">
        <f t="shared" ref="X39:X52" si="20">W39/$AA39</f>
        <v>0</v>
      </c>
      <c r="Y39" s="491">
        <v>0</v>
      </c>
      <c r="Z39" s="2131">
        <f t="shared" ref="Z39:Z52" si="21">Y39/$AA39</f>
        <v>0</v>
      </c>
      <c r="AA39" s="491">
        <f t="shared" ref="AA39:AA52" si="22">Q39+S39+U39+W39+Y39</f>
        <v>25550</v>
      </c>
      <c r="AB39" s="491">
        <v>0</v>
      </c>
    </row>
    <row r="40" spans="1:28">
      <c r="A40" s="948"/>
      <c r="B40" s="553">
        <v>30</v>
      </c>
      <c r="C40" s="482" t="s">
        <v>1097</v>
      </c>
      <c r="D40" s="482">
        <v>0</v>
      </c>
      <c r="E40" s="482">
        <v>0</v>
      </c>
      <c r="F40" s="482">
        <v>0</v>
      </c>
      <c r="G40" s="482">
        <v>0</v>
      </c>
      <c r="H40" s="482">
        <v>0</v>
      </c>
      <c r="I40" s="482">
        <v>0</v>
      </c>
      <c r="J40" s="482">
        <v>23117</v>
      </c>
      <c r="K40" s="482">
        <v>2</v>
      </c>
      <c r="L40" s="482">
        <v>0</v>
      </c>
      <c r="M40" s="484">
        <v>0</v>
      </c>
      <c r="N40" s="553">
        <v>30</v>
      </c>
      <c r="O40" s="482">
        <v>12841</v>
      </c>
      <c r="P40" s="482">
        <f t="shared" si="16"/>
        <v>35958</v>
      </c>
      <c r="Q40" s="621">
        <v>35958</v>
      </c>
      <c r="R40" s="2128">
        <f t="shared" si="17"/>
        <v>1</v>
      </c>
      <c r="S40" s="482">
        <v>0</v>
      </c>
      <c r="T40" s="2128">
        <f t="shared" si="18"/>
        <v>0</v>
      </c>
      <c r="U40" s="482">
        <v>0</v>
      </c>
      <c r="V40" s="2128">
        <f t="shared" si="19"/>
        <v>0</v>
      </c>
      <c r="W40" s="482">
        <v>0</v>
      </c>
      <c r="X40" s="2127">
        <f t="shared" si="20"/>
        <v>0</v>
      </c>
      <c r="Y40" s="482">
        <v>0</v>
      </c>
      <c r="Z40" s="2127">
        <f t="shared" si="21"/>
        <v>0</v>
      </c>
      <c r="AA40" s="482">
        <f t="shared" si="22"/>
        <v>35958</v>
      </c>
      <c r="AB40" s="482">
        <v>0</v>
      </c>
    </row>
    <row r="41" spans="1:28">
      <c r="A41" s="948"/>
      <c r="B41" s="521">
        <v>31</v>
      </c>
      <c r="C41" s="478" t="s">
        <v>1099</v>
      </c>
      <c r="D41" s="495">
        <v>0</v>
      </c>
      <c r="E41" s="495">
        <v>0</v>
      </c>
      <c r="F41" s="488">
        <v>0</v>
      </c>
      <c r="G41" s="488">
        <v>0</v>
      </c>
      <c r="H41" s="478">
        <v>0</v>
      </c>
      <c r="I41" s="488">
        <v>0</v>
      </c>
      <c r="J41" s="488">
        <v>0</v>
      </c>
      <c r="K41" s="488">
        <v>0</v>
      </c>
      <c r="L41" s="488">
        <v>0</v>
      </c>
      <c r="M41" s="501">
        <v>4422</v>
      </c>
      <c r="N41" s="521">
        <v>31</v>
      </c>
      <c r="O41" s="488">
        <v>0</v>
      </c>
      <c r="P41" s="488">
        <f t="shared" si="16"/>
        <v>4422</v>
      </c>
      <c r="Q41" s="626">
        <v>0</v>
      </c>
      <c r="R41" s="2126">
        <v>0</v>
      </c>
      <c r="S41" s="478">
        <v>0</v>
      </c>
      <c r="T41" s="2126">
        <v>0</v>
      </c>
      <c r="U41" s="478">
        <v>0</v>
      </c>
      <c r="V41" s="2126">
        <v>0</v>
      </c>
      <c r="W41" s="478">
        <v>0</v>
      </c>
      <c r="X41" s="2125">
        <v>0</v>
      </c>
      <c r="Y41" s="478">
        <v>0</v>
      </c>
      <c r="Z41" s="2125">
        <v>0</v>
      </c>
      <c r="AA41" s="478">
        <f t="shared" si="22"/>
        <v>0</v>
      </c>
      <c r="AB41" s="478">
        <v>0</v>
      </c>
    </row>
    <row r="42" spans="1:28">
      <c r="A42" s="948"/>
      <c r="B42" s="553">
        <v>32</v>
      </c>
      <c r="C42" s="482" t="s">
        <v>1102</v>
      </c>
      <c r="D42" s="482">
        <v>0</v>
      </c>
      <c r="E42" s="482">
        <v>0</v>
      </c>
      <c r="F42" s="467">
        <v>0</v>
      </c>
      <c r="G42" s="467">
        <v>0</v>
      </c>
      <c r="H42" s="467">
        <v>57118</v>
      </c>
      <c r="I42" s="467">
        <v>2</v>
      </c>
      <c r="J42" s="467">
        <v>0</v>
      </c>
      <c r="K42" s="467">
        <v>0</v>
      </c>
      <c r="L42" s="467">
        <v>0</v>
      </c>
      <c r="M42" s="469">
        <v>0</v>
      </c>
      <c r="N42" s="553">
        <v>32</v>
      </c>
      <c r="O42" s="467">
        <v>0</v>
      </c>
      <c r="P42" s="467">
        <f t="shared" si="16"/>
        <v>57118</v>
      </c>
      <c r="Q42" s="627">
        <v>57118</v>
      </c>
      <c r="R42" s="2128">
        <f t="shared" si="17"/>
        <v>1</v>
      </c>
      <c r="S42" s="482">
        <v>0</v>
      </c>
      <c r="T42" s="2128">
        <f t="shared" si="18"/>
        <v>0</v>
      </c>
      <c r="U42" s="482">
        <v>0</v>
      </c>
      <c r="V42" s="2128">
        <f t="shared" si="19"/>
        <v>0</v>
      </c>
      <c r="W42" s="482">
        <v>0</v>
      </c>
      <c r="X42" s="2127">
        <f t="shared" si="20"/>
        <v>0</v>
      </c>
      <c r="Y42" s="482">
        <v>0</v>
      </c>
      <c r="Z42" s="2127">
        <f t="shared" si="21"/>
        <v>0</v>
      </c>
      <c r="AA42" s="482">
        <f t="shared" si="22"/>
        <v>57118</v>
      </c>
      <c r="AB42" s="482">
        <v>0</v>
      </c>
    </row>
    <row r="43" spans="1:28">
      <c r="A43" s="948"/>
      <c r="B43" s="518">
        <v>33</v>
      </c>
      <c r="C43" s="472" t="s">
        <v>1103</v>
      </c>
      <c r="D43" s="472">
        <v>0</v>
      </c>
      <c r="E43" s="472">
        <v>0</v>
      </c>
      <c r="F43" s="472">
        <v>0</v>
      </c>
      <c r="G43" s="472">
        <v>146000</v>
      </c>
      <c r="H43" s="472">
        <v>0</v>
      </c>
      <c r="I43" s="472">
        <v>0</v>
      </c>
      <c r="J43" s="472">
        <v>0</v>
      </c>
      <c r="K43" s="532">
        <v>0</v>
      </c>
      <c r="L43" s="532">
        <v>0</v>
      </c>
      <c r="M43" s="498">
        <v>0</v>
      </c>
      <c r="N43" s="518">
        <v>33</v>
      </c>
      <c r="O43" s="472">
        <v>0</v>
      </c>
      <c r="P43" s="472">
        <f t="shared" si="16"/>
        <v>146000</v>
      </c>
      <c r="Q43" s="623">
        <v>146000</v>
      </c>
      <c r="R43" s="2136">
        <f t="shared" si="17"/>
        <v>1</v>
      </c>
      <c r="S43" s="472">
        <v>0</v>
      </c>
      <c r="T43" s="2136">
        <f t="shared" si="18"/>
        <v>0</v>
      </c>
      <c r="U43" s="472">
        <v>0</v>
      </c>
      <c r="V43" s="2136">
        <f t="shared" si="19"/>
        <v>0</v>
      </c>
      <c r="W43" s="472">
        <v>0</v>
      </c>
      <c r="X43" s="2135">
        <f t="shared" si="20"/>
        <v>0</v>
      </c>
      <c r="Y43" s="472">
        <v>0</v>
      </c>
      <c r="Z43" s="2135">
        <f t="shared" si="21"/>
        <v>0</v>
      </c>
      <c r="AA43" s="472">
        <f t="shared" si="22"/>
        <v>146000</v>
      </c>
      <c r="AB43" s="472">
        <v>0</v>
      </c>
    </row>
    <row r="44" spans="1:28">
      <c r="A44" s="948"/>
      <c r="B44" s="553">
        <v>34</v>
      </c>
      <c r="C44" s="472" t="s">
        <v>1104</v>
      </c>
      <c r="D44" s="472">
        <v>0</v>
      </c>
      <c r="E44" s="472">
        <v>0</v>
      </c>
      <c r="F44" s="472">
        <v>0</v>
      </c>
      <c r="G44" s="472">
        <v>0</v>
      </c>
      <c r="H44" s="472">
        <v>0</v>
      </c>
      <c r="I44" s="472">
        <v>0</v>
      </c>
      <c r="J44" s="472">
        <v>37028</v>
      </c>
      <c r="K44" s="472">
        <v>1</v>
      </c>
      <c r="L44" s="472">
        <v>0</v>
      </c>
      <c r="M44" s="498">
        <v>0</v>
      </c>
      <c r="N44" s="553">
        <v>34</v>
      </c>
      <c r="O44" s="472">
        <v>0</v>
      </c>
      <c r="P44" s="472">
        <f t="shared" si="16"/>
        <v>37028</v>
      </c>
      <c r="Q44" s="623">
        <v>16551</v>
      </c>
      <c r="R44" s="2136">
        <f t="shared" si="17"/>
        <v>1</v>
      </c>
      <c r="S44" s="472">
        <v>0</v>
      </c>
      <c r="T44" s="2136">
        <f t="shared" si="18"/>
        <v>0</v>
      </c>
      <c r="U44" s="472">
        <v>0</v>
      </c>
      <c r="V44" s="2136">
        <f t="shared" si="19"/>
        <v>0</v>
      </c>
      <c r="W44" s="472">
        <v>0</v>
      </c>
      <c r="X44" s="2135">
        <f t="shared" si="20"/>
        <v>0</v>
      </c>
      <c r="Y44" s="472">
        <v>0</v>
      </c>
      <c r="Z44" s="2135">
        <f t="shared" si="21"/>
        <v>0</v>
      </c>
      <c r="AA44" s="472">
        <f t="shared" si="22"/>
        <v>16551</v>
      </c>
      <c r="AB44" s="472">
        <v>0</v>
      </c>
    </row>
    <row r="45" spans="1:28">
      <c r="A45" s="948"/>
      <c r="B45" s="518">
        <v>35</v>
      </c>
      <c r="C45" s="472" t="s">
        <v>1105</v>
      </c>
      <c r="D45" s="472">
        <v>0</v>
      </c>
      <c r="E45" s="472">
        <v>0</v>
      </c>
      <c r="F45" s="472">
        <v>0</v>
      </c>
      <c r="G45" s="472">
        <v>219000</v>
      </c>
      <c r="H45" s="472">
        <v>0</v>
      </c>
      <c r="I45" s="472">
        <v>0</v>
      </c>
      <c r="J45" s="472">
        <v>0</v>
      </c>
      <c r="K45" s="472">
        <v>0</v>
      </c>
      <c r="L45" s="472">
        <v>0</v>
      </c>
      <c r="M45" s="498">
        <v>0</v>
      </c>
      <c r="N45" s="518">
        <v>35</v>
      </c>
      <c r="O45" s="472">
        <v>0</v>
      </c>
      <c r="P45" s="472">
        <f t="shared" si="16"/>
        <v>219000</v>
      </c>
      <c r="Q45" s="623">
        <v>219000</v>
      </c>
      <c r="R45" s="2136">
        <f t="shared" si="17"/>
        <v>1</v>
      </c>
      <c r="S45" s="472">
        <v>0</v>
      </c>
      <c r="T45" s="2136">
        <f t="shared" si="18"/>
        <v>0</v>
      </c>
      <c r="U45" s="472">
        <v>0</v>
      </c>
      <c r="V45" s="2136">
        <f t="shared" si="19"/>
        <v>0</v>
      </c>
      <c r="W45" s="472">
        <v>0</v>
      </c>
      <c r="X45" s="2135">
        <f t="shared" si="20"/>
        <v>0</v>
      </c>
      <c r="Y45" s="472">
        <v>0</v>
      </c>
      <c r="Z45" s="2135">
        <f t="shared" si="21"/>
        <v>0</v>
      </c>
      <c r="AA45" s="472">
        <f t="shared" si="22"/>
        <v>219000</v>
      </c>
      <c r="AB45" s="472">
        <v>0</v>
      </c>
    </row>
    <row r="46" spans="1:28">
      <c r="A46" s="948"/>
      <c r="B46" s="553">
        <v>36</v>
      </c>
      <c r="C46" s="472" t="s">
        <v>1106</v>
      </c>
      <c r="D46" s="472">
        <v>0</v>
      </c>
      <c r="E46" s="472">
        <v>0</v>
      </c>
      <c r="F46" s="472">
        <v>0</v>
      </c>
      <c r="G46" s="472">
        <v>0</v>
      </c>
      <c r="H46" s="472">
        <v>0</v>
      </c>
      <c r="I46" s="472">
        <v>0</v>
      </c>
      <c r="J46" s="472">
        <v>28690</v>
      </c>
      <c r="K46" s="472">
        <v>1</v>
      </c>
      <c r="L46" s="472">
        <v>0</v>
      </c>
      <c r="M46" s="498">
        <v>0</v>
      </c>
      <c r="N46" s="553">
        <v>36</v>
      </c>
      <c r="O46" s="472">
        <v>0</v>
      </c>
      <c r="P46" s="472">
        <f t="shared" si="16"/>
        <v>28690</v>
      </c>
      <c r="Q46" s="621">
        <v>28690</v>
      </c>
      <c r="R46" s="2128">
        <f t="shared" si="17"/>
        <v>1</v>
      </c>
      <c r="S46" s="482">
        <v>0</v>
      </c>
      <c r="T46" s="2128">
        <f t="shared" si="18"/>
        <v>0</v>
      </c>
      <c r="U46" s="482">
        <v>0</v>
      </c>
      <c r="V46" s="2128">
        <f t="shared" si="19"/>
        <v>0</v>
      </c>
      <c r="W46" s="482">
        <v>0</v>
      </c>
      <c r="X46" s="2127">
        <f t="shared" si="20"/>
        <v>0</v>
      </c>
      <c r="Y46" s="482">
        <v>0</v>
      </c>
      <c r="Z46" s="2127">
        <f t="shared" si="21"/>
        <v>0</v>
      </c>
      <c r="AA46" s="482">
        <f t="shared" si="22"/>
        <v>28690</v>
      </c>
      <c r="AB46" s="482">
        <v>0</v>
      </c>
    </row>
    <row r="47" spans="1:28">
      <c r="A47" s="948"/>
      <c r="B47" s="518">
        <v>37</v>
      </c>
      <c r="C47" s="472" t="s">
        <v>1107</v>
      </c>
      <c r="D47" s="472">
        <v>0</v>
      </c>
      <c r="E47" s="472">
        <v>0</v>
      </c>
      <c r="F47" s="472">
        <v>0</v>
      </c>
      <c r="G47" s="472">
        <v>378000</v>
      </c>
      <c r="H47" s="472">
        <v>0</v>
      </c>
      <c r="I47" s="472">
        <v>0</v>
      </c>
      <c r="J47" s="472">
        <v>0</v>
      </c>
      <c r="K47" s="472">
        <v>0</v>
      </c>
      <c r="L47" s="472">
        <v>0</v>
      </c>
      <c r="M47" s="498">
        <v>0</v>
      </c>
      <c r="N47" s="518">
        <v>37</v>
      </c>
      <c r="O47" s="472">
        <v>0</v>
      </c>
      <c r="P47" s="472">
        <f t="shared" si="16"/>
        <v>378000</v>
      </c>
      <c r="Q47" s="623">
        <v>378000</v>
      </c>
      <c r="R47" s="2136">
        <f t="shared" si="17"/>
        <v>1</v>
      </c>
      <c r="S47" s="472">
        <v>0</v>
      </c>
      <c r="T47" s="2136">
        <f t="shared" si="18"/>
        <v>0</v>
      </c>
      <c r="U47" s="472">
        <v>0</v>
      </c>
      <c r="V47" s="2136">
        <f t="shared" si="19"/>
        <v>0</v>
      </c>
      <c r="W47" s="472">
        <v>0</v>
      </c>
      <c r="X47" s="2135">
        <f t="shared" si="20"/>
        <v>0</v>
      </c>
      <c r="Y47" s="472">
        <v>0</v>
      </c>
      <c r="Z47" s="2135">
        <f t="shared" si="21"/>
        <v>0</v>
      </c>
      <c r="AA47" s="472">
        <f t="shared" si="22"/>
        <v>378000</v>
      </c>
      <c r="AB47" s="472">
        <v>0</v>
      </c>
    </row>
    <row r="48" spans="1:28">
      <c r="A48" s="948"/>
      <c r="B48" s="553">
        <v>38</v>
      </c>
      <c r="C48" s="472" t="s">
        <v>1108</v>
      </c>
      <c r="D48" s="472">
        <v>0</v>
      </c>
      <c r="E48" s="472">
        <v>0</v>
      </c>
      <c r="F48" s="472">
        <v>0</v>
      </c>
      <c r="G48" s="472">
        <v>0</v>
      </c>
      <c r="H48" s="472">
        <v>0</v>
      </c>
      <c r="I48" s="472">
        <v>0</v>
      </c>
      <c r="J48" s="472">
        <v>68419</v>
      </c>
      <c r="K48" s="472">
        <v>1</v>
      </c>
      <c r="L48" s="472">
        <v>0</v>
      </c>
      <c r="M48" s="498">
        <v>0</v>
      </c>
      <c r="N48" s="553">
        <v>38</v>
      </c>
      <c r="O48" s="472">
        <v>0</v>
      </c>
      <c r="P48" s="472">
        <f t="shared" si="16"/>
        <v>68419</v>
      </c>
      <c r="Q48" s="623">
        <v>56021</v>
      </c>
      <c r="R48" s="2136">
        <f t="shared" si="17"/>
        <v>1</v>
      </c>
      <c r="S48" s="472">
        <v>0</v>
      </c>
      <c r="T48" s="2136">
        <f t="shared" si="18"/>
        <v>0</v>
      </c>
      <c r="U48" s="472">
        <v>0</v>
      </c>
      <c r="V48" s="2136">
        <f t="shared" si="19"/>
        <v>0</v>
      </c>
      <c r="W48" s="472">
        <v>0</v>
      </c>
      <c r="X48" s="2135">
        <f t="shared" si="20"/>
        <v>0</v>
      </c>
      <c r="Y48" s="472">
        <v>0</v>
      </c>
      <c r="Z48" s="2135">
        <f t="shared" si="21"/>
        <v>0</v>
      </c>
      <c r="AA48" s="472">
        <f t="shared" si="22"/>
        <v>56021</v>
      </c>
      <c r="AB48" s="472">
        <v>0</v>
      </c>
    </row>
    <row r="49" spans="1:28">
      <c r="A49" s="948"/>
      <c r="B49" s="518">
        <v>39</v>
      </c>
      <c r="C49" s="472" t="s">
        <v>1109</v>
      </c>
      <c r="D49" s="472">
        <v>0</v>
      </c>
      <c r="E49" s="472">
        <v>0</v>
      </c>
      <c r="F49" s="472">
        <v>0</v>
      </c>
      <c r="G49" s="472">
        <v>8285</v>
      </c>
      <c r="H49" s="472">
        <v>0</v>
      </c>
      <c r="I49" s="472">
        <v>0</v>
      </c>
      <c r="J49" s="472">
        <v>0</v>
      </c>
      <c r="K49" s="532">
        <v>0</v>
      </c>
      <c r="L49" s="532">
        <v>0</v>
      </c>
      <c r="M49" s="498">
        <v>0</v>
      </c>
      <c r="N49" s="518">
        <v>39</v>
      </c>
      <c r="O49" s="472">
        <v>0</v>
      </c>
      <c r="P49" s="472">
        <f t="shared" si="16"/>
        <v>8285</v>
      </c>
      <c r="Q49" s="623">
        <v>8285</v>
      </c>
      <c r="R49" s="2136">
        <f t="shared" si="17"/>
        <v>1</v>
      </c>
      <c r="S49" s="472">
        <v>0</v>
      </c>
      <c r="T49" s="2136">
        <f t="shared" si="18"/>
        <v>0</v>
      </c>
      <c r="U49" s="472">
        <v>0</v>
      </c>
      <c r="V49" s="2136">
        <f t="shared" si="19"/>
        <v>0</v>
      </c>
      <c r="W49" s="472">
        <v>0</v>
      </c>
      <c r="X49" s="2135">
        <f t="shared" si="20"/>
        <v>0</v>
      </c>
      <c r="Y49" s="472">
        <v>0</v>
      </c>
      <c r="Z49" s="2135">
        <f t="shared" si="21"/>
        <v>0</v>
      </c>
      <c r="AA49" s="472">
        <f t="shared" si="22"/>
        <v>8285</v>
      </c>
      <c r="AB49" s="472">
        <v>0</v>
      </c>
    </row>
    <row r="50" spans="1:28">
      <c r="A50" s="948"/>
      <c r="B50" s="553">
        <v>40</v>
      </c>
      <c r="C50" s="472" t="s">
        <v>1110</v>
      </c>
      <c r="D50" s="472">
        <v>0</v>
      </c>
      <c r="E50" s="472">
        <v>0</v>
      </c>
      <c r="F50" s="472">
        <v>0</v>
      </c>
      <c r="G50" s="472">
        <v>99737</v>
      </c>
      <c r="H50" s="472">
        <v>0</v>
      </c>
      <c r="I50" s="472">
        <v>0</v>
      </c>
      <c r="J50" s="472">
        <v>0</v>
      </c>
      <c r="K50" s="472">
        <v>0</v>
      </c>
      <c r="L50" s="472">
        <v>0</v>
      </c>
      <c r="M50" s="498">
        <v>0</v>
      </c>
      <c r="N50" s="553">
        <v>40</v>
      </c>
      <c r="O50" s="472">
        <v>0</v>
      </c>
      <c r="P50" s="472">
        <f t="shared" si="16"/>
        <v>99737</v>
      </c>
      <c r="Q50" s="623">
        <v>26171</v>
      </c>
      <c r="R50" s="2136">
        <f t="shared" si="17"/>
        <v>1</v>
      </c>
      <c r="S50" s="472">
        <v>0</v>
      </c>
      <c r="T50" s="2136">
        <f t="shared" si="18"/>
        <v>0</v>
      </c>
      <c r="U50" s="472">
        <v>0</v>
      </c>
      <c r="V50" s="2136">
        <f t="shared" si="19"/>
        <v>0</v>
      </c>
      <c r="W50" s="472">
        <v>0</v>
      </c>
      <c r="X50" s="2135">
        <f t="shared" si="20"/>
        <v>0</v>
      </c>
      <c r="Y50" s="472">
        <v>0</v>
      </c>
      <c r="Z50" s="2135">
        <f t="shared" si="21"/>
        <v>0</v>
      </c>
      <c r="AA50" s="472">
        <f t="shared" si="22"/>
        <v>26171</v>
      </c>
      <c r="AB50" s="472">
        <v>0</v>
      </c>
    </row>
    <row r="51" spans="1:28">
      <c r="A51" s="948"/>
      <c r="B51" s="521">
        <v>41</v>
      </c>
      <c r="C51" s="478" t="s">
        <v>1111</v>
      </c>
      <c r="D51" s="478">
        <v>0</v>
      </c>
      <c r="E51" s="478">
        <v>0</v>
      </c>
      <c r="F51" s="478">
        <v>0</v>
      </c>
      <c r="G51" s="478">
        <v>23057</v>
      </c>
      <c r="H51" s="478">
        <v>0</v>
      </c>
      <c r="I51" s="478">
        <v>0</v>
      </c>
      <c r="J51" s="478">
        <v>21283</v>
      </c>
      <c r="K51" s="478">
        <v>2</v>
      </c>
      <c r="L51" s="478">
        <v>0</v>
      </c>
      <c r="M51" s="480">
        <v>0</v>
      </c>
      <c r="N51" s="521">
        <v>41</v>
      </c>
      <c r="O51" s="478">
        <v>0</v>
      </c>
      <c r="P51" s="478">
        <f t="shared" si="16"/>
        <v>44340</v>
      </c>
      <c r="Q51" s="622">
        <v>44340</v>
      </c>
      <c r="R51" s="2126">
        <f t="shared" si="17"/>
        <v>1</v>
      </c>
      <c r="S51" s="478">
        <v>0</v>
      </c>
      <c r="T51" s="2126">
        <f t="shared" si="18"/>
        <v>0</v>
      </c>
      <c r="U51" s="478">
        <v>0</v>
      </c>
      <c r="V51" s="2126">
        <f t="shared" si="19"/>
        <v>0</v>
      </c>
      <c r="W51" s="478">
        <v>0</v>
      </c>
      <c r="X51" s="2125">
        <f t="shared" si="20"/>
        <v>0</v>
      </c>
      <c r="Y51" s="478">
        <v>0</v>
      </c>
      <c r="Z51" s="2125">
        <f t="shared" si="21"/>
        <v>0</v>
      </c>
      <c r="AA51" s="478">
        <f t="shared" si="22"/>
        <v>44340</v>
      </c>
      <c r="AB51" s="478">
        <v>0</v>
      </c>
    </row>
    <row r="52" spans="1:28" ht="13.5" thickBot="1">
      <c r="A52" s="948"/>
      <c r="B52" s="553">
        <v>42</v>
      </c>
      <c r="C52" s="528" t="s">
        <v>1113</v>
      </c>
      <c r="D52" s="528">
        <v>0</v>
      </c>
      <c r="E52" s="528">
        <v>0</v>
      </c>
      <c r="F52" s="528">
        <v>0</v>
      </c>
      <c r="G52" s="528">
        <v>0</v>
      </c>
      <c r="H52" s="528">
        <v>0</v>
      </c>
      <c r="I52" s="528">
        <v>0</v>
      </c>
      <c r="J52" s="528">
        <v>37352</v>
      </c>
      <c r="K52" s="528">
        <v>1</v>
      </c>
      <c r="L52" s="528">
        <v>0</v>
      </c>
      <c r="M52" s="529">
        <v>0</v>
      </c>
      <c r="N52" s="553">
        <v>42</v>
      </c>
      <c r="O52" s="528">
        <v>0</v>
      </c>
      <c r="P52" s="528">
        <f t="shared" si="16"/>
        <v>37352</v>
      </c>
      <c r="Q52" s="628">
        <v>37352</v>
      </c>
      <c r="R52" s="2140">
        <f t="shared" si="17"/>
        <v>1</v>
      </c>
      <c r="S52" s="528">
        <v>0</v>
      </c>
      <c r="T52" s="2140">
        <f t="shared" si="18"/>
        <v>0</v>
      </c>
      <c r="U52" s="528">
        <v>0</v>
      </c>
      <c r="V52" s="2140">
        <f t="shared" si="19"/>
        <v>0</v>
      </c>
      <c r="W52" s="528">
        <v>0</v>
      </c>
      <c r="X52" s="2139">
        <f t="shared" si="20"/>
        <v>0</v>
      </c>
      <c r="Y52" s="528">
        <v>0</v>
      </c>
      <c r="Z52" s="2139">
        <f t="shared" si="21"/>
        <v>0</v>
      </c>
      <c r="AA52" s="528">
        <f t="shared" si="22"/>
        <v>37352</v>
      </c>
      <c r="AB52" s="528">
        <v>0</v>
      </c>
    </row>
    <row r="53" spans="1:28" ht="13.5" thickTop="1">
      <c r="A53" s="948"/>
      <c r="B53" s="502"/>
      <c r="C53" s="536" t="s">
        <v>34</v>
      </c>
      <c r="D53" s="624">
        <f t="shared" ref="D53:M53" si="23">SUM(D39:D52)</f>
        <v>0</v>
      </c>
      <c r="E53" s="624">
        <f t="shared" si="23"/>
        <v>0</v>
      </c>
      <c r="F53" s="624">
        <f t="shared" si="23"/>
        <v>0</v>
      </c>
      <c r="G53" s="624">
        <f t="shared" si="23"/>
        <v>899629</v>
      </c>
      <c r="H53" s="624">
        <f t="shared" si="23"/>
        <v>57118</v>
      </c>
      <c r="I53" s="624">
        <f t="shared" si="23"/>
        <v>2</v>
      </c>
      <c r="J53" s="624">
        <f t="shared" si="23"/>
        <v>215889</v>
      </c>
      <c r="K53" s="624">
        <f t="shared" si="23"/>
        <v>8</v>
      </c>
      <c r="L53" s="624">
        <f t="shared" si="23"/>
        <v>0</v>
      </c>
      <c r="M53" s="624">
        <f t="shared" si="23"/>
        <v>4422</v>
      </c>
      <c r="N53" s="502"/>
      <c r="O53" s="624">
        <f>SUM(O39:O52)</f>
        <v>12841</v>
      </c>
      <c r="P53" s="624">
        <f>SUM(P39:P52)</f>
        <v>1189899</v>
      </c>
      <c r="Q53" s="624">
        <f>SUM(Q39:Q52)</f>
        <v>1079036</v>
      </c>
      <c r="R53" s="2159">
        <f>Q53/$AA53</f>
        <v>1</v>
      </c>
      <c r="S53" s="624">
        <f>SUM(S39:S52)</f>
        <v>0</v>
      </c>
      <c r="T53" s="2159">
        <f>S53/$AA53</f>
        <v>0</v>
      </c>
      <c r="U53" s="624">
        <f>SUM(U39:U52)</f>
        <v>0</v>
      </c>
      <c r="V53" s="2159">
        <f>U53/$AA53</f>
        <v>0</v>
      </c>
      <c r="W53" s="624">
        <f>SUM(W39:W52)</f>
        <v>0</v>
      </c>
      <c r="X53" s="2159">
        <f>W53/$AA53</f>
        <v>0</v>
      </c>
      <c r="Y53" s="624">
        <f>SUM(Y39:Y52)</f>
        <v>0</v>
      </c>
      <c r="Z53" s="2159">
        <f>Y53/$AA53</f>
        <v>0</v>
      </c>
      <c r="AA53" s="624">
        <f>SUM(AA39:AA52)</f>
        <v>1079036</v>
      </c>
      <c r="AB53" s="624">
        <f>SUM(AB39:AB52)</f>
        <v>0</v>
      </c>
    </row>
    <row r="54" spans="1:28">
      <c r="A54" s="949"/>
      <c r="B54" s="509"/>
      <c r="C54" s="537"/>
      <c r="D54" s="511"/>
      <c r="E54" s="511"/>
      <c r="F54" s="511"/>
      <c r="G54" s="511"/>
      <c r="H54" s="511"/>
      <c r="I54" s="511"/>
      <c r="J54" s="511"/>
      <c r="K54" s="511"/>
      <c r="L54" s="511"/>
      <c r="M54" s="511"/>
      <c r="N54" s="509"/>
      <c r="O54" s="511"/>
      <c r="P54" s="511"/>
      <c r="Q54" s="625"/>
      <c r="R54" s="2160"/>
      <c r="S54" s="511"/>
      <c r="T54" s="2160"/>
      <c r="U54" s="511"/>
      <c r="V54" s="2160"/>
      <c r="W54" s="511"/>
      <c r="X54" s="2161"/>
      <c r="Y54" s="511"/>
      <c r="Z54" s="2161"/>
      <c r="AA54" s="511"/>
      <c r="AB54" s="511"/>
    </row>
    <row r="55" spans="1:28">
      <c r="A55" s="947" t="s">
        <v>1114</v>
      </c>
      <c r="B55" s="517">
        <v>43</v>
      </c>
      <c r="C55" s="482" t="s">
        <v>1115</v>
      </c>
      <c r="D55" s="482">
        <v>0</v>
      </c>
      <c r="E55" s="482">
        <v>0</v>
      </c>
      <c r="F55" s="482">
        <v>32119</v>
      </c>
      <c r="G55" s="482">
        <v>0</v>
      </c>
      <c r="H55" s="482">
        <v>0</v>
      </c>
      <c r="I55" s="482">
        <v>0</v>
      </c>
      <c r="J55" s="482">
        <v>0</v>
      </c>
      <c r="K55" s="482">
        <v>0</v>
      </c>
      <c r="L55" s="482">
        <v>0</v>
      </c>
      <c r="M55" s="482">
        <v>0</v>
      </c>
      <c r="N55" s="517">
        <v>43</v>
      </c>
      <c r="O55" s="482">
        <v>0</v>
      </c>
      <c r="P55" s="482">
        <f t="shared" ref="P55:P74" si="24">D55+E55+F55+G55+H55+J55+L55+M55+O55</f>
        <v>32119</v>
      </c>
      <c r="Q55" s="621">
        <v>0</v>
      </c>
      <c r="R55" s="2128">
        <f t="shared" ref="R55:T87" si="25">Q55/$AA55</f>
        <v>0</v>
      </c>
      <c r="S55" s="482">
        <v>17076</v>
      </c>
      <c r="T55" s="2128">
        <f t="shared" ref="T55:T75" si="26">S55/$AA55</f>
        <v>1</v>
      </c>
      <c r="U55" s="482">
        <v>0</v>
      </c>
      <c r="V55" s="2128">
        <f t="shared" ref="V55:V75" si="27">U55/$AA55</f>
        <v>0</v>
      </c>
      <c r="W55" s="482">
        <v>0</v>
      </c>
      <c r="X55" s="2127">
        <f t="shared" ref="X55:X75" si="28">W55/$AA55</f>
        <v>0</v>
      </c>
      <c r="Y55" s="482">
        <v>0</v>
      </c>
      <c r="Z55" s="2127">
        <f t="shared" ref="Z55:Z75" si="29">Y55/$AA55</f>
        <v>0</v>
      </c>
      <c r="AA55" s="482">
        <f t="shared" ref="AA55:AA74" si="30">Q55+S55+U55+W55+Y55</f>
        <v>17076</v>
      </c>
      <c r="AB55" s="482">
        <v>0</v>
      </c>
    </row>
    <row r="56" spans="1:28">
      <c r="A56" s="948"/>
      <c r="B56" s="518">
        <v>44</v>
      </c>
      <c r="C56" s="472" t="s">
        <v>1116</v>
      </c>
      <c r="D56" s="472">
        <v>0</v>
      </c>
      <c r="E56" s="472">
        <v>0</v>
      </c>
      <c r="F56" s="472">
        <v>0</v>
      </c>
      <c r="G56" s="472">
        <v>0</v>
      </c>
      <c r="H56" s="472">
        <v>0</v>
      </c>
      <c r="I56" s="472">
        <v>0</v>
      </c>
      <c r="J56" s="472">
        <v>0</v>
      </c>
      <c r="K56" s="472">
        <v>0</v>
      </c>
      <c r="L56" s="472">
        <v>0</v>
      </c>
      <c r="M56" s="472">
        <v>0</v>
      </c>
      <c r="N56" s="518">
        <v>44</v>
      </c>
      <c r="O56" s="472">
        <v>13869</v>
      </c>
      <c r="P56" s="472">
        <f t="shared" si="24"/>
        <v>13869</v>
      </c>
      <c r="Q56" s="623">
        <v>0</v>
      </c>
      <c r="R56" s="2136">
        <f t="shared" si="25"/>
        <v>0</v>
      </c>
      <c r="S56" s="472">
        <v>11845</v>
      </c>
      <c r="T56" s="2136">
        <f t="shared" si="26"/>
        <v>1</v>
      </c>
      <c r="U56" s="472">
        <v>0</v>
      </c>
      <c r="V56" s="2136">
        <f t="shared" si="27"/>
        <v>0</v>
      </c>
      <c r="W56" s="472">
        <v>0</v>
      </c>
      <c r="X56" s="2135">
        <f t="shared" si="28"/>
        <v>0</v>
      </c>
      <c r="Y56" s="472">
        <v>0</v>
      </c>
      <c r="Z56" s="2135">
        <f t="shared" si="29"/>
        <v>0</v>
      </c>
      <c r="AA56" s="472">
        <f t="shared" si="30"/>
        <v>11845</v>
      </c>
      <c r="AB56" s="472">
        <v>0</v>
      </c>
    </row>
    <row r="57" spans="1:28">
      <c r="A57" s="948"/>
      <c r="B57" s="517">
        <v>45</v>
      </c>
      <c r="C57" s="472" t="s">
        <v>1117</v>
      </c>
      <c r="D57" s="472">
        <v>0</v>
      </c>
      <c r="E57" s="472">
        <v>0</v>
      </c>
      <c r="F57" s="472">
        <v>0</v>
      </c>
      <c r="G57" s="472">
        <v>0</v>
      </c>
      <c r="H57" s="472">
        <v>0</v>
      </c>
      <c r="I57" s="472">
        <v>0</v>
      </c>
      <c r="J57" s="472">
        <v>0</v>
      </c>
      <c r="K57" s="472">
        <v>0</v>
      </c>
      <c r="L57" s="472">
        <v>0</v>
      </c>
      <c r="M57" s="472">
        <v>0</v>
      </c>
      <c r="N57" s="517">
        <v>45</v>
      </c>
      <c r="O57" s="472">
        <v>18600</v>
      </c>
      <c r="P57" s="472">
        <f t="shared" si="24"/>
        <v>18600</v>
      </c>
      <c r="Q57" s="623">
        <v>18600</v>
      </c>
      <c r="R57" s="2136">
        <f t="shared" si="25"/>
        <v>1</v>
      </c>
      <c r="S57" s="472">
        <v>0</v>
      </c>
      <c r="T57" s="2136">
        <f t="shared" si="26"/>
        <v>0</v>
      </c>
      <c r="U57" s="472">
        <v>0</v>
      </c>
      <c r="V57" s="2136">
        <f t="shared" si="27"/>
        <v>0</v>
      </c>
      <c r="W57" s="472">
        <v>0</v>
      </c>
      <c r="X57" s="2135">
        <f t="shared" si="28"/>
        <v>0</v>
      </c>
      <c r="Y57" s="472">
        <v>0</v>
      </c>
      <c r="Z57" s="2135">
        <f t="shared" si="29"/>
        <v>0</v>
      </c>
      <c r="AA57" s="472">
        <f t="shared" si="30"/>
        <v>18600</v>
      </c>
      <c r="AB57" s="472">
        <v>0</v>
      </c>
    </row>
    <row r="58" spans="1:28">
      <c r="A58" s="948"/>
      <c r="B58" s="518">
        <v>46</v>
      </c>
      <c r="C58" s="472" t="s">
        <v>1118</v>
      </c>
      <c r="D58" s="472">
        <v>0</v>
      </c>
      <c r="E58" s="472">
        <v>0</v>
      </c>
      <c r="F58" s="472">
        <v>0</v>
      </c>
      <c r="G58" s="472">
        <v>82731</v>
      </c>
      <c r="H58" s="472">
        <v>0</v>
      </c>
      <c r="I58" s="472">
        <v>0</v>
      </c>
      <c r="J58" s="472">
        <v>0</v>
      </c>
      <c r="K58" s="472">
        <v>0</v>
      </c>
      <c r="L58" s="472">
        <v>0</v>
      </c>
      <c r="M58" s="472">
        <v>0</v>
      </c>
      <c r="N58" s="518">
        <v>46</v>
      </c>
      <c r="O58" s="472">
        <v>233420</v>
      </c>
      <c r="P58" s="472">
        <f t="shared" si="24"/>
        <v>316151</v>
      </c>
      <c r="Q58" s="623">
        <v>0</v>
      </c>
      <c r="R58" s="2136">
        <f t="shared" si="25"/>
        <v>0</v>
      </c>
      <c r="S58" s="472">
        <v>68647</v>
      </c>
      <c r="T58" s="2136">
        <f t="shared" si="26"/>
        <v>0.21713358490088597</v>
      </c>
      <c r="U58" s="472">
        <v>14084</v>
      </c>
      <c r="V58" s="2136">
        <f t="shared" si="27"/>
        <v>4.4548332916865677E-2</v>
      </c>
      <c r="W58" s="472">
        <v>3259</v>
      </c>
      <c r="X58" s="2135">
        <f t="shared" si="28"/>
        <v>1.0308365306451664E-2</v>
      </c>
      <c r="Y58" s="2162">
        <v>230161</v>
      </c>
      <c r="Z58" s="2135">
        <f t="shared" si="29"/>
        <v>0.72800971687579674</v>
      </c>
      <c r="AA58" s="472">
        <f t="shared" si="30"/>
        <v>316151</v>
      </c>
      <c r="AB58" s="472">
        <v>0</v>
      </c>
    </row>
    <row r="59" spans="1:28">
      <c r="A59" s="948"/>
      <c r="B59" s="517">
        <v>47</v>
      </c>
      <c r="C59" s="472" t="s">
        <v>1119</v>
      </c>
      <c r="D59" s="472">
        <v>0</v>
      </c>
      <c r="E59" s="472">
        <v>0</v>
      </c>
      <c r="F59" s="472">
        <v>0</v>
      </c>
      <c r="G59" s="472">
        <v>0</v>
      </c>
      <c r="H59" s="472">
        <v>0</v>
      </c>
      <c r="I59" s="472">
        <v>0</v>
      </c>
      <c r="J59" s="472">
        <v>0</v>
      </c>
      <c r="K59" s="472">
        <v>0</v>
      </c>
      <c r="L59" s="472">
        <v>0</v>
      </c>
      <c r="M59" s="472">
        <v>0</v>
      </c>
      <c r="N59" s="517">
        <v>47</v>
      </c>
      <c r="O59" s="472">
        <v>89918</v>
      </c>
      <c r="P59" s="472">
        <f t="shared" si="24"/>
        <v>89918</v>
      </c>
      <c r="Q59" s="623">
        <v>89918</v>
      </c>
      <c r="R59" s="2136">
        <f t="shared" si="25"/>
        <v>1</v>
      </c>
      <c r="S59" s="472">
        <v>0</v>
      </c>
      <c r="T59" s="2136">
        <f t="shared" si="26"/>
        <v>0</v>
      </c>
      <c r="U59" s="472">
        <v>0</v>
      </c>
      <c r="V59" s="2136">
        <f t="shared" si="27"/>
        <v>0</v>
      </c>
      <c r="W59" s="472">
        <v>0</v>
      </c>
      <c r="X59" s="2135">
        <f t="shared" si="28"/>
        <v>0</v>
      </c>
      <c r="Y59" s="472">
        <v>0</v>
      </c>
      <c r="Z59" s="2135">
        <f t="shared" si="29"/>
        <v>0</v>
      </c>
      <c r="AA59" s="472">
        <f t="shared" si="30"/>
        <v>89918</v>
      </c>
      <c r="AB59" s="472">
        <v>0</v>
      </c>
    </row>
    <row r="60" spans="1:28">
      <c r="A60" s="948"/>
      <c r="B60" s="518">
        <v>48</v>
      </c>
      <c r="C60" s="472" t="s">
        <v>1120</v>
      </c>
      <c r="D60" s="472">
        <v>0</v>
      </c>
      <c r="E60" s="472">
        <v>0</v>
      </c>
      <c r="F60" s="472">
        <v>79843</v>
      </c>
      <c r="G60" s="472">
        <v>0</v>
      </c>
      <c r="H60" s="472">
        <v>0</v>
      </c>
      <c r="I60" s="472">
        <v>0</v>
      </c>
      <c r="J60" s="472">
        <v>0</v>
      </c>
      <c r="K60" s="472">
        <v>0</v>
      </c>
      <c r="L60" s="472">
        <v>0</v>
      </c>
      <c r="M60" s="472">
        <v>0</v>
      </c>
      <c r="N60" s="518">
        <v>48</v>
      </c>
      <c r="O60" s="472">
        <v>2078</v>
      </c>
      <c r="P60" s="472">
        <f t="shared" si="24"/>
        <v>81921</v>
      </c>
      <c r="Q60" s="623">
        <v>2078</v>
      </c>
      <c r="R60" s="2136">
        <f t="shared" si="25"/>
        <v>2.5365901295150206E-2</v>
      </c>
      <c r="S60" s="472">
        <v>0</v>
      </c>
      <c r="T60" s="2136">
        <f t="shared" si="26"/>
        <v>0</v>
      </c>
      <c r="U60" s="472">
        <v>0</v>
      </c>
      <c r="V60" s="2136">
        <f t="shared" si="27"/>
        <v>0</v>
      </c>
      <c r="W60" s="472">
        <v>79843</v>
      </c>
      <c r="X60" s="2135">
        <f t="shared" si="28"/>
        <v>0.97463409870484985</v>
      </c>
      <c r="Y60" s="472">
        <v>0</v>
      </c>
      <c r="Z60" s="2135">
        <f t="shared" si="29"/>
        <v>0</v>
      </c>
      <c r="AA60" s="472">
        <f t="shared" si="30"/>
        <v>81921</v>
      </c>
      <c r="AB60" s="472">
        <v>0</v>
      </c>
    </row>
    <row r="61" spans="1:28">
      <c r="A61" s="948"/>
      <c r="B61" s="517">
        <v>49</v>
      </c>
      <c r="C61" s="472" t="s">
        <v>1121</v>
      </c>
      <c r="D61" s="472">
        <v>0</v>
      </c>
      <c r="E61" s="472">
        <v>0</v>
      </c>
      <c r="F61" s="472">
        <v>5065</v>
      </c>
      <c r="G61" s="472">
        <v>0</v>
      </c>
      <c r="H61" s="472">
        <v>0</v>
      </c>
      <c r="I61" s="472">
        <v>0</v>
      </c>
      <c r="J61" s="472">
        <v>0</v>
      </c>
      <c r="K61" s="472">
        <v>0</v>
      </c>
      <c r="L61" s="472">
        <v>0</v>
      </c>
      <c r="M61" s="472">
        <v>0</v>
      </c>
      <c r="N61" s="517">
        <v>49</v>
      </c>
      <c r="O61" s="472">
        <v>0</v>
      </c>
      <c r="P61" s="472">
        <f t="shared" si="24"/>
        <v>5065</v>
      </c>
      <c r="Q61" s="623">
        <v>0</v>
      </c>
      <c r="R61" s="2136">
        <f t="shared" si="25"/>
        <v>0</v>
      </c>
      <c r="S61" s="472">
        <v>0</v>
      </c>
      <c r="T61" s="2136">
        <f t="shared" si="26"/>
        <v>0</v>
      </c>
      <c r="U61" s="472">
        <v>0</v>
      </c>
      <c r="V61" s="2136">
        <f t="shared" si="27"/>
        <v>0</v>
      </c>
      <c r="W61" s="472">
        <v>5065</v>
      </c>
      <c r="X61" s="2135">
        <f t="shared" si="28"/>
        <v>1</v>
      </c>
      <c r="Y61" s="472">
        <v>0</v>
      </c>
      <c r="Z61" s="2135">
        <f t="shared" si="29"/>
        <v>0</v>
      </c>
      <c r="AA61" s="472">
        <f t="shared" si="30"/>
        <v>5065</v>
      </c>
      <c r="AB61" s="472">
        <v>0</v>
      </c>
    </row>
    <row r="62" spans="1:28">
      <c r="A62" s="948"/>
      <c r="B62" s="518">
        <v>50</v>
      </c>
      <c r="C62" s="472" t="s">
        <v>1122</v>
      </c>
      <c r="D62" s="472">
        <v>0</v>
      </c>
      <c r="E62" s="472">
        <v>0</v>
      </c>
      <c r="F62" s="472">
        <v>0</v>
      </c>
      <c r="G62" s="472">
        <v>0</v>
      </c>
      <c r="H62" s="472">
        <v>0</v>
      </c>
      <c r="I62" s="472">
        <v>0</v>
      </c>
      <c r="J62" s="472">
        <v>0</v>
      </c>
      <c r="K62" s="472">
        <v>0</v>
      </c>
      <c r="L62" s="472">
        <v>0</v>
      </c>
      <c r="M62" s="472">
        <v>0</v>
      </c>
      <c r="N62" s="518">
        <v>50</v>
      </c>
      <c r="O62" s="472">
        <v>58517</v>
      </c>
      <c r="P62" s="472">
        <f t="shared" si="24"/>
        <v>58517</v>
      </c>
      <c r="Q62" s="623">
        <v>14834</v>
      </c>
      <c r="R62" s="2136">
        <f t="shared" si="25"/>
        <v>0.2534989832014628</v>
      </c>
      <c r="S62" s="472">
        <v>0</v>
      </c>
      <c r="T62" s="2136">
        <f t="shared" si="26"/>
        <v>0</v>
      </c>
      <c r="U62" s="472">
        <v>0</v>
      </c>
      <c r="V62" s="2136">
        <f t="shared" si="27"/>
        <v>0</v>
      </c>
      <c r="W62" s="472">
        <v>0</v>
      </c>
      <c r="X62" s="2135">
        <f t="shared" si="28"/>
        <v>0</v>
      </c>
      <c r="Y62" s="472">
        <v>43683</v>
      </c>
      <c r="Z62" s="2135">
        <f t="shared" si="29"/>
        <v>0.7465010167985372</v>
      </c>
      <c r="AA62" s="472">
        <f t="shared" si="30"/>
        <v>58517</v>
      </c>
      <c r="AB62" s="472">
        <v>0</v>
      </c>
    </row>
    <row r="63" spans="1:28">
      <c r="A63" s="948"/>
      <c r="B63" s="521">
        <v>51</v>
      </c>
      <c r="C63" s="478" t="s">
        <v>1123</v>
      </c>
      <c r="D63" s="478">
        <v>0</v>
      </c>
      <c r="E63" s="478">
        <v>0</v>
      </c>
      <c r="F63" s="478">
        <v>0</v>
      </c>
      <c r="G63" s="478">
        <v>0</v>
      </c>
      <c r="H63" s="478">
        <v>0</v>
      </c>
      <c r="I63" s="478">
        <v>0</v>
      </c>
      <c r="J63" s="478">
        <v>0</v>
      </c>
      <c r="K63" s="478">
        <v>0</v>
      </c>
      <c r="L63" s="478">
        <v>0</v>
      </c>
      <c r="M63" s="478">
        <v>0</v>
      </c>
      <c r="N63" s="521">
        <v>51</v>
      </c>
      <c r="O63" s="478">
        <v>70927</v>
      </c>
      <c r="P63" s="478">
        <f t="shared" si="24"/>
        <v>70927</v>
      </c>
      <c r="Q63" s="622">
        <v>70927</v>
      </c>
      <c r="R63" s="2126">
        <f t="shared" si="25"/>
        <v>1</v>
      </c>
      <c r="S63" s="478">
        <v>0</v>
      </c>
      <c r="T63" s="2126">
        <f t="shared" si="26"/>
        <v>0</v>
      </c>
      <c r="U63" s="478">
        <v>0</v>
      </c>
      <c r="V63" s="2126">
        <f t="shared" si="27"/>
        <v>0</v>
      </c>
      <c r="W63" s="478">
        <v>0</v>
      </c>
      <c r="X63" s="2125">
        <f t="shared" si="28"/>
        <v>0</v>
      </c>
      <c r="Y63" s="478">
        <v>0</v>
      </c>
      <c r="Z63" s="2125">
        <f t="shared" si="29"/>
        <v>0</v>
      </c>
      <c r="AA63" s="478">
        <f t="shared" si="30"/>
        <v>70927</v>
      </c>
      <c r="AB63" s="478">
        <v>0</v>
      </c>
    </row>
    <row r="64" spans="1:28">
      <c r="A64" s="948"/>
      <c r="B64" s="517">
        <v>52</v>
      </c>
      <c r="C64" s="482" t="s">
        <v>1124</v>
      </c>
      <c r="D64" s="482">
        <v>0</v>
      </c>
      <c r="E64" s="482">
        <v>0</v>
      </c>
      <c r="F64" s="482">
        <v>0</v>
      </c>
      <c r="G64" s="482">
        <v>0</v>
      </c>
      <c r="H64" s="482">
        <v>0</v>
      </c>
      <c r="I64" s="482">
        <v>0</v>
      </c>
      <c r="J64" s="482">
        <v>8710</v>
      </c>
      <c r="K64" s="482">
        <v>1</v>
      </c>
      <c r="L64" s="482">
        <v>0</v>
      </c>
      <c r="M64" s="482">
        <v>0</v>
      </c>
      <c r="N64" s="517">
        <v>52</v>
      </c>
      <c r="O64" s="482">
        <v>9500</v>
      </c>
      <c r="P64" s="482">
        <f t="shared" si="24"/>
        <v>18210</v>
      </c>
      <c r="Q64" s="621">
        <v>18210</v>
      </c>
      <c r="R64" s="2128">
        <f t="shared" si="25"/>
        <v>1</v>
      </c>
      <c r="S64" s="482">
        <v>0</v>
      </c>
      <c r="T64" s="2128">
        <f t="shared" si="26"/>
        <v>0</v>
      </c>
      <c r="U64" s="482">
        <v>0</v>
      </c>
      <c r="V64" s="2128">
        <f t="shared" si="27"/>
        <v>0</v>
      </c>
      <c r="W64" s="482">
        <v>0</v>
      </c>
      <c r="X64" s="2127">
        <f t="shared" si="28"/>
        <v>0</v>
      </c>
      <c r="Y64" s="482">
        <v>0</v>
      </c>
      <c r="Z64" s="2127">
        <f t="shared" si="29"/>
        <v>0</v>
      </c>
      <c r="AA64" s="482">
        <f t="shared" si="30"/>
        <v>18210</v>
      </c>
      <c r="AB64" s="482">
        <v>0</v>
      </c>
    </row>
    <row r="65" spans="1:28">
      <c r="A65" s="948"/>
      <c r="B65" s="517">
        <v>53</v>
      </c>
      <c r="C65" s="472" t="s">
        <v>1125</v>
      </c>
      <c r="D65" s="472">
        <v>0</v>
      </c>
      <c r="E65" s="472">
        <v>0</v>
      </c>
      <c r="F65" s="472">
        <v>0</v>
      </c>
      <c r="G65" s="472">
        <v>0</v>
      </c>
      <c r="H65" s="472">
        <v>0</v>
      </c>
      <c r="I65" s="472">
        <v>0</v>
      </c>
      <c r="J65" s="472">
        <v>0</v>
      </c>
      <c r="K65" s="472">
        <v>0</v>
      </c>
      <c r="L65" s="472">
        <v>0</v>
      </c>
      <c r="M65" s="472">
        <v>0</v>
      </c>
      <c r="N65" s="517">
        <v>53</v>
      </c>
      <c r="O65" s="472">
        <v>18601</v>
      </c>
      <c r="P65" s="472">
        <f t="shared" si="24"/>
        <v>18601</v>
      </c>
      <c r="Q65" s="623">
        <v>18601</v>
      </c>
      <c r="R65" s="2136">
        <f t="shared" si="25"/>
        <v>1</v>
      </c>
      <c r="S65" s="472">
        <v>0</v>
      </c>
      <c r="T65" s="2136">
        <f t="shared" si="26"/>
        <v>0</v>
      </c>
      <c r="U65" s="472">
        <v>0</v>
      </c>
      <c r="V65" s="2136">
        <f t="shared" si="27"/>
        <v>0</v>
      </c>
      <c r="W65" s="472">
        <v>0</v>
      </c>
      <c r="X65" s="2135">
        <f t="shared" si="28"/>
        <v>0</v>
      </c>
      <c r="Y65" s="472">
        <v>0</v>
      </c>
      <c r="Z65" s="2135">
        <f t="shared" si="29"/>
        <v>0</v>
      </c>
      <c r="AA65" s="472">
        <f t="shared" si="30"/>
        <v>18601</v>
      </c>
      <c r="AB65" s="472">
        <v>0</v>
      </c>
    </row>
    <row r="66" spans="1:28">
      <c r="A66" s="948"/>
      <c r="B66" s="518">
        <v>54</v>
      </c>
      <c r="C66" s="472" t="s">
        <v>1126</v>
      </c>
      <c r="D66" s="472">
        <v>0</v>
      </c>
      <c r="E66" s="472">
        <v>0</v>
      </c>
      <c r="F66" s="472">
        <v>0</v>
      </c>
      <c r="G66" s="472">
        <v>0</v>
      </c>
      <c r="H66" s="472">
        <v>0</v>
      </c>
      <c r="I66" s="472">
        <v>0</v>
      </c>
      <c r="J66" s="472">
        <v>0</v>
      </c>
      <c r="K66" s="472">
        <v>0</v>
      </c>
      <c r="L66" s="472">
        <v>0</v>
      </c>
      <c r="M66" s="472">
        <v>0</v>
      </c>
      <c r="N66" s="518">
        <v>54</v>
      </c>
      <c r="O66" s="472">
        <v>46450</v>
      </c>
      <c r="P66" s="472">
        <f t="shared" si="24"/>
        <v>46450</v>
      </c>
      <c r="Q66" s="623">
        <v>21100</v>
      </c>
      <c r="R66" s="2136">
        <f t="shared" si="25"/>
        <v>0.74608394328347649</v>
      </c>
      <c r="S66" s="472">
        <v>0</v>
      </c>
      <c r="T66" s="2136">
        <f t="shared" si="26"/>
        <v>0</v>
      </c>
      <c r="U66" s="472">
        <v>0</v>
      </c>
      <c r="V66" s="2136">
        <f t="shared" si="27"/>
        <v>0</v>
      </c>
      <c r="W66" s="472">
        <v>7181</v>
      </c>
      <c r="X66" s="2135">
        <f t="shared" si="28"/>
        <v>0.25391605671652345</v>
      </c>
      <c r="Y66" s="472">
        <v>0</v>
      </c>
      <c r="Z66" s="2135">
        <f t="shared" si="29"/>
        <v>0</v>
      </c>
      <c r="AA66" s="472">
        <f t="shared" si="30"/>
        <v>28281</v>
      </c>
      <c r="AB66" s="472">
        <v>0</v>
      </c>
    </row>
    <row r="67" spans="1:28">
      <c r="A67" s="948"/>
      <c r="B67" s="517">
        <v>55</v>
      </c>
      <c r="C67" s="472" t="s">
        <v>1127</v>
      </c>
      <c r="D67" s="472">
        <v>0</v>
      </c>
      <c r="E67" s="472">
        <v>0</v>
      </c>
      <c r="F67" s="472">
        <v>0</v>
      </c>
      <c r="G67" s="472">
        <v>0</v>
      </c>
      <c r="H67" s="472">
        <v>0</v>
      </c>
      <c r="I67" s="472">
        <v>0</v>
      </c>
      <c r="J67" s="472">
        <v>29564</v>
      </c>
      <c r="K67" s="472">
        <v>1</v>
      </c>
      <c r="L67" s="472">
        <v>0</v>
      </c>
      <c r="M67" s="472">
        <v>0</v>
      </c>
      <c r="N67" s="517">
        <v>55</v>
      </c>
      <c r="O67" s="472">
        <v>0</v>
      </c>
      <c r="P67" s="472">
        <f t="shared" si="24"/>
        <v>29564</v>
      </c>
      <c r="Q67" s="623">
        <v>29564</v>
      </c>
      <c r="R67" s="2136">
        <f t="shared" si="25"/>
        <v>1</v>
      </c>
      <c r="S67" s="472">
        <v>0</v>
      </c>
      <c r="T67" s="2136">
        <f t="shared" si="26"/>
        <v>0</v>
      </c>
      <c r="U67" s="472">
        <v>0</v>
      </c>
      <c r="V67" s="2136">
        <f t="shared" si="27"/>
        <v>0</v>
      </c>
      <c r="W67" s="472">
        <v>0</v>
      </c>
      <c r="X67" s="2135">
        <f t="shared" si="28"/>
        <v>0</v>
      </c>
      <c r="Y67" s="472">
        <v>0</v>
      </c>
      <c r="Z67" s="2135">
        <f t="shared" si="29"/>
        <v>0</v>
      </c>
      <c r="AA67" s="472">
        <f t="shared" si="30"/>
        <v>29564</v>
      </c>
      <c r="AB67" s="472">
        <v>0</v>
      </c>
    </row>
    <row r="68" spans="1:28">
      <c r="A68" s="948"/>
      <c r="B68" s="518">
        <v>56</v>
      </c>
      <c r="C68" s="472" t="s">
        <v>1128</v>
      </c>
      <c r="D68" s="472">
        <v>0</v>
      </c>
      <c r="E68" s="472">
        <v>0</v>
      </c>
      <c r="F68" s="472">
        <v>0</v>
      </c>
      <c r="G68" s="472">
        <v>0</v>
      </c>
      <c r="H68" s="472">
        <v>0</v>
      </c>
      <c r="I68" s="472">
        <v>0</v>
      </c>
      <c r="J68" s="472">
        <v>0</v>
      </c>
      <c r="K68" s="472">
        <v>0</v>
      </c>
      <c r="L68" s="472">
        <v>0</v>
      </c>
      <c r="M68" s="472">
        <v>0</v>
      </c>
      <c r="N68" s="518">
        <v>56</v>
      </c>
      <c r="O68" s="472">
        <v>8345</v>
      </c>
      <c r="P68" s="472">
        <f t="shared" si="24"/>
        <v>8345</v>
      </c>
      <c r="Q68" s="623">
        <v>0</v>
      </c>
      <c r="R68" s="2136">
        <f t="shared" si="25"/>
        <v>0</v>
      </c>
      <c r="S68" s="472">
        <v>0</v>
      </c>
      <c r="T68" s="2136">
        <f t="shared" si="26"/>
        <v>0</v>
      </c>
      <c r="U68" s="472">
        <v>8345</v>
      </c>
      <c r="V68" s="2136">
        <f t="shared" si="27"/>
        <v>1</v>
      </c>
      <c r="W68" s="472">
        <v>0</v>
      </c>
      <c r="X68" s="2135">
        <f t="shared" si="28"/>
        <v>0</v>
      </c>
      <c r="Y68" s="472">
        <v>0</v>
      </c>
      <c r="Z68" s="2135">
        <f t="shared" si="29"/>
        <v>0</v>
      </c>
      <c r="AA68" s="472">
        <f t="shared" si="30"/>
        <v>8345</v>
      </c>
      <c r="AB68" s="472">
        <v>0</v>
      </c>
    </row>
    <row r="69" spans="1:28">
      <c r="A69" s="948"/>
      <c r="B69" s="521">
        <v>57</v>
      </c>
      <c r="C69" s="478" t="s">
        <v>1129</v>
      </c>
      <c r="D69" s="478">
        <v>0</v>
      </c>
      <c r="E69" s="478">
        <v>0</v>
      </c>
      <c r="F69" s="478">
        <v>0</v>
      </c>
      <c r="G69" s="478">
        <v>0</v>
      </c>
      <c r="H69" s="478">
        <v>0</v>
      </c>
      <c r="I69" s="478">
        <v>0</v>
      </c>
      <c r="J69" s="478">
        <v>0</v>
      </c>
      <c r="K69" s="478">
        <v>0</v>
      </c>
      <c r="L69" s="478">
        <v>0</v>
      </c>
      <c r="M69" s="478">
        <v>0</v>
      </c>
      <c r="N69" s="521">
        <v>57</v>
      </c>
      <c r="O69" s="478">
        <v>5918</v>
      </c>
      <c r="P69" s="478">
        <f t="shared" si="24"/>
        <v>5918</v>
      </c>
      <c r="Q69" s="622">
        <v>5918</v>
      </c>
      <c r="R69" s="2126">
        <f t="shared" si="25"/>
        <v>1</v>
      </c>
      <c r="S69" s="478">
        <v>0</v>
      </c>
      <c r="T69" s="2126">
        <f t="shared" si="26"/>
        <v>0</v>
      </c>
      <c r="U69" s="478">
        <v>0</v>
      </c>
      <c r="V69" s="2126">
        <f t="shared" si="27"/>
        <v>0</v>
      </c>
      <c r="W69" s="478">
        <v>0</v>
      </c>
      <c r="X69" s="2125">
        <f t="shared" si="28"/>
        <v>0</v>
      </c>
      <c r="Y69" s="478">
        <v>0</v>
      </c>
      <c r="Z69" s="2125">
        <f t="shared" si="29"/>
        <v>0</v>
      </c>
      <c r="AA69" s="478">
        <f t="shared" si="30"/>
        <v>5918</v>
      </c>
      <c r="AB69" s="478">
        <v>0</v>
      </c>
    </row>
    <row r="70" spans="1:28">
      <c r="A70" s="948"/>
      <c r="B70" s="517">
        <v>58</v>
      </c>
      <c r="C70" s="482" t="s">
        <v>1130</v>
      </c>
      <c r="D70" s="482">
        <v>0</v>
      </c>
      <c r="E70" s="482">
        <v>0</v>
      </c>
      <c r="F70" s="482">
        <v>0</v>
      </c>
      <c r="G70" s="482">
        <v>0</v>
      </c>
      <c r="H70" s="482">
        <v>0</v>
      </c>
      <c r="I70" s="482">
        <v>0</v>
      </c>
      <c r="J70" s="482">
        <v>0</v>
      </c>
      <c r="K70" s="482">
        <v>0</v>
      </c>
      <c r="L70" s="482">
        <v>0</v>
      </c>
      <c r="M70" s="482">
        <v>0</v>
      </c>
      <c r="N70" s="517">
        <v>58</v>
      </c>
      <c r="O70" s="482">
        <v>124465</v>
      </c>
      <c r="P70" s="482">
        <f t="shared" si="24"/>
        <v>124465</v>
      </c>
      <c r="Q70" s="621">
        <v>112055</v>
      </c>
      <c r="R70" s="2128">
        <f t="shared" si="25"/>
        <v>1</v>
      </c>
      <c r="S70" s="482">
        <v>0</v>
      </c>
      <c r="T70" s="2128">
        <f t="shared" si="26"/>
        <v>0</v>
      </c>
      <c r="U70" s="482">
        <v>0</v>
      </c>
      <c r="V70" s="2128">
        <f t="shared" si="27"/>
        <v>0</v>
      </c>
      <c r="W70" s="482">
        <v>0</v>
      </c>
      <c r="X70" s="2127">
        <f t="shared" si="28"/>
        <v>0</v>
      </c>
      <c r="Y70" s="482">
        <v>0</v>
      </c>
      <c r="Z70" s="2127">
        <f t="shared" si="29"/>
        <v>0</v>
      </c>
      <c r="AA70" s="482">
        <f t="shared" si="30"/>
        <v>112055</v>
      </c>
      <c r="AB70" s="482">
        <v>0</v>
      </c>
    </row>
    <row r="71" spans="1:28">
      <c r="A71" s="948"/>
      <c r="B71" s="518">
        <v>59</v>
      </c>
      <c r="C71" s="472" t="s">
        <v>1131</v>
      </c>
      <c r="D71" s="472">
        <v>0</v>
      </c>
      <c r="E71" s="472">
        <v>0</v>
      </c>
      <c r="F71" s="472">
        <v>0</v>
      </c>
      <c r="G71" s="472">
        <v>0</v>
      </c>
      <c r="H71" s="472">
        <v>0</v>
      </c>
      <c r="I71" s="472">
        <v>0</v>
      </c>
      <c r="J71" s="472">
        <v>0</v>
      </c>
      <c r="K71" s="472">
        <v>0</v>
      </c>
      <c r="L71" s="472">
        <v>10150</v>
      </c>
      <c r="M71" s="472">
        <v>0</v>
      </c>
      <c r="N71" s="518">
        <v>59</v>
      </c>
      <c r="O71" s="472">
        <v>0</v>
      </c>
      <c r="P71" s="472">
        <f t="shared" si="24"/>
        <v>10150</v>
      </c>
      <c r="Q71" s="623">
        <v>8058</v>
      </c>
      <c r="R71" s="2136">
        <f t="shared" si="25"/>
        <v>1</v>
      </c>
      <c r="S71" s="472">
        <v>0</v>
      </c>
      <c r="T71" s="2136">
        <f t="shared" si="26"/>
        <v>0</v>
      </c>
      <c r="U71" s="472">
        <v>0</v>
      </c>
      <c r="V71" s="2136">
        <f t="shared" si="27"/>
        <v>0</v>
      </c>
      <c r="W71" s="472">
        <v>0</v>
      </c>
      <c r="X71" s="2135">
        <f t="shared" si="28"/>
        <v>0</v>
      </c>
      <c r="Y71" s="472">
        <v>0</v>
      </c>
      <c r="Z71" s="2135">
        <f t="shared" si="29"/>
        <v>0</v>
      </c>
      <c r="AA71" s="472">
        <f t="shared" si="30"/>
        <v>8058</v>
      </c>
      <c r="AB71" s="472">
        <v>0</v>
      </c>
    </row>
    <row r="72" spans="1:28">
      <c r="A72" s="948"/>
      <c r="B72" s="521">
        <v>60</v>
      </c>
      <c r="C72" s="478" t="s">
        <v>1132</v>
      </c>
      <c r="D72" s="478">
        <v>0</v>
      </c>
      <c r="E72" s="478">
        <v>0</v>
      </c>
      <c r="F72" s="478">
        <v>0</v>
      </c>
      <c r="G72" s="478">
        <v>0</v>
      </c>
      <c r="H72" s="478">
        <v>0</v>
      </c>
      <c r="I72" s="478">
        <v>0</v>
      </c>
      <c r="J72" s="478">
        <v>0</v>
      </c>
      <c r="K72" s="478">
        <v>0</v>
      </c>
      <c r="L72" s="478">
        <v>0</v>
      </c>
      <c r="M72" s="478">
        <v>0</v>
      </c>
      <c r="N72" s="521">
        <v>60</v>
      </c>
      <c r="O72" s="478">
        <v>8150</v>
      </c>
      <c r="P72" s="478">
        <f t="shared" si="24"/>
        <v>8150</v>
      </c>
      <c r="Q72" s="622">
        <v>8150</v>
      </c>
      <c r="R72" s="2126">
        <f t="shared" si="25"/>
        <v>1</v>
      </c>
      <c r="S72" s="478">
        <v>0</v>
      </c>
      <c r="T72" s="2126">
        <f t="shared" si="26"/>
        <v>0</v>
      </c>
      <c r="U72" s="478">
        <v>0</v>
      </c>
      <c r="V72" s="2126">
        <f t="shared" si="27"/>
        <v>0</v>
      </c>
      <c r="W72" s="478">
        <v>0</v>
      </c>
      <c r="X72" s="2125">
        <f t="shared" si="28"/>
        <v>0</v>
      </c>
      <c r="Y72" s="478">
        <v>0</v>
      </c>
      <c r="Z72" s="2125">
        <f t="shared" si="29"/>
        <v>0</v>
      </c>
      <c r="AA72" s="478">
        <f t="shared" si="30"/>
        <v>8150</v>
      </c>
      <c r="AB72" s="478">
        <v>0</v>
      </c>
    </row>
    <row r="73" spans="1:28">
      <c r="A73" s="948"/>
      <c r="B73" s="538">
        <v>61</v>
      </c>
      <c r="C73" s="495" t="s">
        <v>1133</v>
      </c>
      <c r="D73" s="495">
        <v>0</v>
      </c>
      <c r="E73" s="495">
        <v>0</v>
      </c>
      <c r="F73" s="495">
        <v>8579.2999999999993</v>
      </c>
      <c r="G73" s="495">
        <v>0</v>
      </c>
      <c r="H73" s="495">
        <v>0</v>
      </c>
      <c r="I73" s="495">
        <v>0</v>
      </c>
      <c r="J73" s="495">
        <v>9125</v>
      </c>
      <c r="K73" s="495">
        <v>1</v>
      </c>
      <c r="L73" s="495">
        <v>0</v>
      </c>
      <c r="M73" s="495">
        <v>0</v>
      </c>
      <c r="N73" s="538">
        <v>61</v>
      </c>
      <c r="O73" s="495">
        <v>0</v>
      </c>
      <c r="P73" s="495">
        <f t="shared" si="24"/>
        <v>17704.3</v>
      </c>
      <c r="Q73" s="620">
        <v>9125</v>
      </c>
      <c r="R73" s="2134">
        <f t="shared" si="25"/>
        <v>0.51541151019808751</v>
      </c>
      <c r="S73" s="495">
        <v>0</v>
      </c>
      <c r="T73" s="2134">
        <f t="shared" si="26"/>
        <v>0</v>
      </c>
      <c r="U73" s="495">
        <v>8579.2999999999993</v>
      </c>
      <c r="V73" s="2134">
        <f t="shared" si="27"/>
        <v>0.48458848980191249</v>
      </c>
      <c r="W73" s="495">
        <v>0</v>
      </c>
      <c r="X73" s="2133">
        <f t="shared" si="28"/>
        <v>0</v>
      </c>
      <c r="Y73" s="495">
        <v>0</v>
      </c>
      <c r="Z73" s="2133">
        <f t="shared" si="29"/>
        <v>0</v>
      </c>
      <c r="AA73" s="495">
        <f t="shared" si="30"/>
        <v>17704.3</v>
      </c>
      <c r="AB73" s="495">
        <v>0</v>
      </c>
    </row>
    <row r="74" spans="1:28" ht="13.5" thickBot="1">
      <c r="A74" s="948"/>
      <c r="B74" s="535">
        <v>62</v>
      </c>
      <c r="C74" s="491" t="s">
        <v>1134</v>
      </c>
      <c r="D74" s="491">
        <v>0</v>
      </c>
      <c r="E74" s="491">
        <v>0</v>
      </c>
      <c r="F74" s="491">
        <v>0</v>
      </c>
      <c r="G74" s="491">
        <v>0</v>
      </c>
      <c r="H74" s="491">
        <v>0</v>
      </c>
      <c r="I74" s="491">
        <v>0</v>
      </c>
      <c r="J74" s="491">
        <v>0</v>
      </c>
      <c r="K74" s="491">
        <v>0</v>
      </c>
      <c r="L74" s="491">
        <v>0</v>
      </c>
      <c r="M74" s="491">
        <v>0</v>
      </c>
      <c r="N74" s="535">
        <v>62</v>
      </c>
      <c r="O74" s="491">
        <v>73000</v>
      </c>
      <c r="P74" s="491">
        <f t="shared" si="24"/>
        <v>73000</v>
      </c>
      <c r="Q74" s="619">
        <v>73000</v>
      </c>
      <c r="R74" s="2132">
        <f t="shared" si="25"/>
        <v>1</v>
      </c>
      <c r="S74" s="491">
        <v>0</v>
      </c>
      <c r="T74" s="2132">
        <f t="shared" si="26"/>
        <v>0</v>
      </c>
      <c r="U74" s="491">
        <v>0</v>
      </c>
      <c r="V74" s="2132">
        <f t="shared" si="27"/>
        <v>0</v>
      </c>
      <c r="W74" s="491">
        <v>0</v>
      </c>
      <c r="X74" s="2131">
        <f t="shared" si="28"/>
        <v>0</v>
      </c>
      <c r="Y74" s="491">
        <v>0</v>
      </c>
      <c r="Z74" s="2131">
        <f t="shared" si="29"/>
        <v>0</v>
      </c>
      <c r="AA74" s="491">
        <f t="shared" si="30"/>
        <v>73000</v>
      </c>
      <c r="AB74" s="491">
        <v>0</v>
      </c>
    </row>
    <row r="75" spans="1:28" ht="13.5" thickTop="1">
      <c r="A75" s="948"/>
      <c r="B75" s="502"/>
      <c r="C75" s="536" t="s">
        <v>34</v>
      </c>
      <c r="D75" s="624">
        <f t="shared" ref="D75:M75" si="31">SUM(D55:D74)</f>
        <v>0</v>
      </c>
      <c r="E75" s="624">
        <f t="shared" si="31"/>
        <v>0</v>
      </c>
      <c r="F75" s="624">
        <f t="shared" si="31"/>
        <v>125606.3</v>
      </c>
      <c r="G75" s="624">
        <f t="shared" si="31"/>
        <v>82731</v>
      </c>
      <c r="H75" s="624">
        <f t="shared" si="31"/>
        <v>0</v>
      </c>
      <c r="I75" s="624">
        <f t="shared" si="31"/>
        <v>0</v>
      </c>
      <c r="J75" s="624">
        <f t="shared" si="31"/>
        <v>47399</v>
      </c>
      <c r="K75" s="624">
        <f t="shared" si="31"/>
        <v>3</v>
      </c>
      <c r="L75" s="624">
        <f t="shared" si="31"/>
        <v>10150</v>
      </c>
      <c r="M75" s="624">
        <f t="shared" si="31"/>
        <v>0</v>
      </c>
      <c r="N75" s="502"/>
      <c r="O75" s="624">
        <f>SUM(O55:O74)</f>
        <v>781758</v>
      </c>
      <c r="P75" s="624">
        <f>SUM(P55:P74)</f>
        <v>1047644.3</v>
      </c>
      <c r="Q75" s="624">
        <f>SUM(Q55:Q74)</f>
        <v>500138</v>
      </c>
      <c r="R75" s="2159">
        <f t="shared" si="25"/>
        <v>0.50118733592522657</v>
      </c>
      <c r="S75" s="624">
        <f>SUM(S55:S74)</f>
        <v>97568</v>
      </c>
      <c r="T75" s="2159">
        <f t="shared" si="26"/>
        <v>9.7772706716051386E-2</v>
      </c>
      <c r="U75" s="624">
        <f>SUM(U55:U74)</f>
        <v>31008.3</v>
      </c>
      <c r="V75" s="2159">
        <f t="shared" si="27"/>
        <v>3.10733582902523E-2</v>
      </c>
      <c r="W75" s="624">
        <f>SUM(W55:W74)</f>
        <v>95348</v>
      </c>
      <c r="X75" s="2159">
        <f t="shared" si="28"/>
        <v>9.5548048950086797E-2</v>
      </c>
      <c r="Y75" s="624">
        <f>SUM(Y55:Y74)</f>
        <v>273844</v>
      </c>
      <c r="Z75" s="2159">
        <f t="shared" si="29"/>
        <v>0.27441855011838284</v>
      </c>
      <c r="AA75" s="624">
        <f>SUM(AA55:AA74)</f>
        <v>997906.3</v>
      </c>
      <c r="AB75" s="624">
        <f>SUM(AB55:AB74)</f>
        <v>0</v>
      </c>
    </row>
    <row r="76" spans="1:28">
      <c r="A76" s="949"/>
      <c r="B76" s="509"/>
      <c r="C76" s="537"/>
      <c r="D76" s="511"/>
      <c r="E76" s="511"/>
      <c r="F76" s="511"/>
      <c r="G76" s="511"/>
      <c r="H76" s="511"/>
      <c r="I76" s="511"/>
      <c r="J76" s="511"/>
      <c r="K76" s="511"/>
      <c r="L76" s="511"/>
      <c r="M76" s="511"/>
      <c r="N76" s="509"/>
      <c r="O76" s="511"/>
      <c r="P76" s="511"/>
      <c r="Q76" s="625"/>
      <c r="R76" s="2160"/>
      <c r="S76" s="511"/>
      <c r="T76" s="2160"/>
      <c r="U76" s="511"/>
      <c r="V76" s="2160"/>
      <c r="W76" s="511"/>
      <c r="X76" s="2161"/>
      <c r="Y76" s="511"/>
      <c r="Z76" s="2161"/>
      <c r="AA76" s="511"/>
      <c r="AB76" s="511"/>
    </row>
    <row r="77" spans="1:28">
      <c r="A77" s="947" t="s">
        <v>1136</v>
      </c>
      <c r="B77" s="535">
        <v>63</v>
      </c>
      <c r="C77" s="491" t="s">
        <v>1137</v>
      </c>
      <c r="D77" s="472">
        <v>0</v>
      </c>
      <c r="E77" s="472">
        <v>0</v>
      </c>
      <c r="F77" s="472">
        <v>45965</v>
      </c>
      <c r="G77" s="472">
        <v>33473</v>
      </c>
      <c r="H77" s="472">
        <v>0</v>
      </c>
      <c r="I77" s="472">
        <v>0</v>
      </c>
      <c r="J77" s="472">
        <v>32051</v>
      </c>
      <c r="K77" s="472">
        <v>5</v>
      </c>
      <c r="L77" s="472">
        <v>0</v>
      </c>
      <c r="M77" s="472">
        <v>0</v>
      </c>
      <c r="N77" s="535">
        <v>63</v>
      </c>
      <c r="O77" s="472">
        <v>190904</v>
      </c>
      <c r="P77" s="472">
        <f t="shared" ref="P77:P86" si="32">D77+E77+F77+G77+H77+J77+L77+M77+O77</f>
        <v>302393</v>
      </c>
      <c r="Q77" s="619">
        <v>40619</v>
      </c>
      <c r="R77" s="2132">
        <f t="shared" si="25"/>
        <v>0.15984683918901901</v>
      </c>
      <c r="S77" s="491">
        <v>133693</v>
      </c>
      <c r="T77" s="2132">
        <f t="shared" si="25"/>
        <v>0.52611840448306257</v>
      </c>
      <c r="U77" s="491">
        <v>51872</v>
      </c>
      <c r="V77" s="2132">
        <f t="shared" ref="V77:V87" si="33">U77/$AA77</f>
        <v>0.20413046215841835</v>
      </c>
      <c r="W77" s="491">
        <v>27928</v>
      </c>
      <c r="X77" s="2131">
        <f t="shared" ref="X77:X87" si="34">W77/$AA77</f>
        <v>0.10990429416950007</v>
      </c>
      <c r="Y77" s="491">
        <v>0</v>
      </c>
      <c r="Z77" s="2131">
        <f t="shared" ref="Z77:Z87" si="35">Y77/$AA77</f>
        <v>0</v>
      </c>
      <c r="AA77" s="491">
        <f t="shared" ref="AA77:AA86" si="36">Q77+S77+U77+W77+Y77</f>
        <v>254112</v>
      </c>
      <c r="AB77" s="491">
        <v>0</v>
      </c>
    </row>
    <row r="78" spans="1:28">
      <c r="A78" s="948"/>
      <c r="B78" s="517">
        <v>64</v>
      </c>
      <c r="C78" s="495" t="s">
        <v>1138</v>
      </c>
      <c r="D78" s="491">
        <v>0</v>
      </c>
      <c r="E78" s="491">
        <v>164200</v>
      </c>
      <c r="F78" s="491">
        <v>0</v>
      </c>
      <c r="G78" s="491">
        <v>0</v>
      </c>
      <c r="H78" s="491">
        <v>0</v>
      </c>
      <c r="I78" s="491">
        <v>0</v>
      </c>
      <c r="J78" s="491">
        <v>144965</v>
      </c>
      <c r="K78" s="491">
        <v>6</v>
      </c>
      <c r="L78" s="491">
        <v>0</v>
      </c>
      <c r="M78" s="491">
        <v>0</v>
      </c>
      <c r="N78" s="517">
        <v>64</v>
      </c>
      <c r="O78" s="491">
        <v>0</v>
      </c>
      <c r="P78" s="491">
        <f t="shared" si="32"/>
        <v>309165</v>
      </c>
      <c r="Q78" s="620">
        <v>136965</v>
      </c>
      <c r="R78" s="2134">
        <f t="shared" si="25"/>
        <v>0.45478392243454585</v>
      </c>
      <c r="S78" s="495">
        <v>0</v>
      </c>
      <c r="T78" s="2134">
        <f t="shared" si="25"/>
        <v>0</v>
      </c>
      <c r="U78" s="495">
        <v>164200</v>
      </c>
      <c r="V78" s="2134">
        <f t="shared" si="33"/>
        <v>0.5452160775654542</v>
      </c>
      <c r="W78" s="495">
        <v>0</v>
      </c>
      <c r="X78" s="2133">
        <f t="shared" si="34"/>
        <v>0</v>
      </c>
      <c r="Y78" s="495">
        <v>0</v>
      </c>
      <c r="Z78" s="2133">
        <f t="shared" si="35"/>
        <v>0</v>
      </c>
      <c r="AA78" s="495">
        <f t="shared" si="36"/>
        <v>301165</v>
      </c>
      <c r="AB78" s="495">
        <v>0</v>
      </c>
    </row>
    <row r="79" spans="1:28">
      <c r="A79" s="948"/>
      <c r="B79" s="554">
        <v>65</v>
      </c>
      <c r="C79" s="491" t="s">
        <v>1213</v>
      </c>
      <c r="D79" s="467">
        <v>0</v>
      </c>
      <c r="E79" s="467">
        <v>0</v>
      </c>
      <c r="F79" s="467">
        <v>814011</v>
      </c>
      <c r="G79" s="467">
        <v>0</v>
      </c>
      <c r="H79" s="467">
        <v>0</v>
      </c>
      <c r="I79" s="467"/>
      <c r="J79" s="467">
        <v>5246</v>
      </c>
      <c r="K79" s="467">
        <v>1</v>
      </c>
      <c r="L79" s="467">
        <v>0</v>
      </c>
      <c r="M79" s="467">
        <v>0</v>
      </c>
      <c r="N79" s="554">
        <v>65</v>
      </c>
      <c r="O79" s="467">
        <v>0</v>
      </c>
      <c r="P79" s="467">
        <f t="shared" si="32"/>
        <v>819257</v>
      </c>
      <c r="Q79" s="627">
        <v>5246</v>
      </c>
      <c r="R79" s="2122">
        <f t="shared" si="25"/>
        <v>6.4033630472489101E-3</v>
      </c>
      <c r="S79" s="467">
        <v>0</v>
      </c>
      <c r="T79" s="2122">
        <f t="shared" si="25"/>
        <v>0</v>
      </c>
      <c r="U79" s="467">
        <v>698035</v>
      </c>
      <c r="V79" s="2122">
        <f t="shared" si="33"/>
        <v>0.85203422125169515</v>
      </c>
      <c r="W79" s="467">
        <v>115976</v>
      </c>
      <c r="X79" s="2121">
        <f t="shared" si="34"/>
        <v>0.14156241570105596</v>
      </c>
      <c r="Y79" s="467">
        <v>0</v>
      </c>
      <c r="Z79" s="2121">
        <f t="shared" si="35"/>
        <v>0</v>
      </c>
      <c r="AA79" s="467">
        <f t="shared" si="36"/>
        <v>819257</v>
      </c>
      <c r="AB79" s="467">
        <v>0</v>
      </c>
    </row>
    <row r="80" spans="1:28">
      <c r="A80" s="948"/>
      <c r="B80" s="535">
        <v>66</v>
      </c>
      <c r="C80" s="491" t="s">
        <v>406</v>
      </c>
      <c r="D80" s="491">
        <v>0</v>
      </c>
      <c r="E80" s="491"/>
      <c r="F80" s="491">
        <v>59923</v>
      </c>
      <c r="G80" s="491"/>
      <c r="H80" s="491"/>
      <c r="I80" s="491"/>
      <c r="J80" s="491"/>
      <c r="K80" s="491"/>
      <c r="L80" s="491"/>
      <c r="M80" s="491"/>
      <c r="N80" s="535">
        <v>66</v>
      </c>
      <c r="O80" s="491">
        <v>0</v>
      </c>
      <c r="P80" s="491">
        <f t="shared" si="32"/>
        <v>59923</v>
      </c>
      <c r="Q80" s="619"/>
      <c r="R80" s="2132">
        <f t="shared" si="25"/>
        <v>0</v>
      </c>
      <c r="S80" s="491"/>
      <c r="T80" s="2132">
        <f t="shared" si="25"/>
        <v>0</v>
      </c>
      <c r="U80" s="491"/>
      <c r="V80" s="2132">
        <f t="shared" si="33"/>
        <v>0</v>
      </c>
      <c r="W80" s="491">
        <v>59923</v>
      </c>
      <c r="X80" s="2131">
        <f t="shared" si="34"/>
        <v>1</v>
      </c>
      <c r="Y80" s="491">
        <v>0</v>
      </c>
      <c r="Z80" s="2131">
        <f t="shared" si="35"/>
        <v>0</v>
      </c>
      <c r="AA80" s="491">
        <f t="shared" si="36"/>
        <v>59923</v>
      </c>
      <c r="AB80" s="491">
        <v>0</v>
      </c>
    </row>
    <row r="81" spans="1:28">
      <c r="A81" s="948"/>
      <c r="B81" s="517">
        <v>67</v>
      </c>
      <c r="C81" s="482" t="s">
        <v>1140</v>
      </c>
      <c r="D81" s="482">
        <v>0</v>
      </c>
      <c r="E81" s="482">
        <v>0</v>
      </c>
      <c r="F81" s="482">
        <v>259515</v>
      </c>
      <c r="G81" s="482">
        <v>0</v>
      </c>
      <c r="H81" s="482">
        <v>0</v>
      </c>
      <c r="I81" s="482">
        <v>0</v>
      </c>
      <c r="J81" s="482">
        <v>0</v>
      </c>
      <c r="K81" s="482">
        <v>0</v>
      </c>
      <c r="L81" s="482">
        <v>0</v>
      </c>
      <c r="M81" s="482">
        <v>0</v>
      </c>
      <c r="N81" s="517">
        <v>67</v>
      </c>
      <c r="O81" s="482">
        <v>0</v>
      </c>
      <c r="P81" s="482">
        <f t="shared" si="32"/>
        <v>259515</v>
      </c>
      <c r="Q81" s="621">
        <v>0</v>
      </c>
      <c r="R81" s="2128">
        <f t="shared" si="25"/>
        <v>0</v>
      </c>
      <c r="S81" s="482">
        <v>87269</v>
      </c>
      <c r="T81" s="2128">
        <f t="shared" si="25"/>
        <v>1</v>
      </c>
      <c r="U81" s="482">
        <v>0</v>
      </c>
      <c r="V81" s="2128">
        <f t="shared" si="33"/>
        <v>0</v>
      </c>
      <c r="W81" s="482">
        <v>0</v>
      </c>
      <c r="X81" s="2127">
        <f t="shared" si="34"/>
        <v>0</v>
      </c>
      <c r="Y81" s="482">
        <v>0</v>
      </c>
      <c r="Z81" s="2127">
        <f t="shared" si="35"/>
        <v>0</v>
      </c>
      <c r="AA81" s="482">
        <f t="shared" si="36"/>
        <v>87269</v>
      </c>
      <c r="AB81" s="482">
        <v>0</v>
      </c>
    </row>
    <row r="82" spans="1:28">
      <c r="A82" s="948"/>
      <c r="B82" s="538">
        <v>68</v>
      </c>
      <c r="C82" s="495" t="s">
        <v>408</v>
      </c>
      <c r="D82" s="495">
        <v>0</v>
      </c>
      <c r="E82" s="495">
        <v>0</v>
      </c>
      <c r="F82" s="495">
        <v>452977</v>
      </c>
      <c r="G82" s="495">
        <v>0</v>
      </c>
      <c r="H82" s="495">
        <v>0</v>
      </c>
      <c r="I82" s="495">
        <v>0</v>
      </c>
      <c r="J82" s="495">
        <v>0</v>
      </c>
      <c r="K82" s="495">
        <v>0</v>
      </c>
      <c r="L82" s="495">
        <v>0</v>
      </c>
      <c r="M82" s="495">
        <v>0</v>
      </c>
      <c r="N82" s="538">
        <v>68</v>
      </c>
      <c r="O82" s="495">
        <v>0</v>
      </c>
      <c r="P82" s="495">
        <f t="shared" si="32"/>
        <v>452977</v>
      </c>
      <c r="Q82" s="620">
        <v>0</v>
      </c>
      <c r="R82" s="2134">
        <f t="shared" si="25"/>
        <v>0</v>
      </c>
      <c r="S82" s="495">
        <v>0</v>
      </c>
      <c r="T82" s="2134">
        <f t="shared" si="25"/>
        <v>0</v>
      </c>
      <c r="U82" s="495">
        <v>401233</v>
      </c>
      <c r="V82" s="2134">
        <f t="shared" si="33"/>
        <v>1</v>
      </c>
      <c r="W82" s="495">
        <v>0</v>
      </c>
      <c r="X82" s="2133">
        <f t="shared" si="34"/>
        <v>0</v>
      </c>
      <c r="Y82" s="495">
        <v>0</v>
      </c>
      <c r="Z82" s="2133">
        <f t="shared" si="35"/>
        <v>0</v>
      </c>
      <c r="AA82" s="495">
        <f t="shared" si="36"/>
        <v>401233</v>
      </c>
      <c r="AB82" s="495">
        <v>0</v>
      </c>
    </row>
    <row r="83" spans="1:28">
      <c r="A83" s="948"/>
      <c r="B83" s="538">
        <v>69</v>
      </c>
      <c r="C83" s="495" t="s">
        <v>409</v>
      </c>
      <c r="D83" s="495">
        <v>0</v>
      </c>
      <c r="E83" s="495">
        <v>0</v>
      </c>
      <c r="F83" s="495">
        <v>87550</v>
      </c>
      <c r="G83" s="495">
        <v>0</v>
      </c>
      <c r="H83" s="495">
        <v>0</v>
      </c>
      <c r="I83" s="495"/>
      <c r="J83" s="495">
        <v>0</v>
      </c>
      <c r="K83" s="495"/>
      <c r="L83" s="495">
        <v>0</v>
      </c>
      <c r="M83" s="495">
        <v>0</v>
      </c>
      <c r="N83" s="538">
        <v>69</v>
      </c>
      <c r="O83" s="495">
        <v>0</v>
      </c>
      <c r="P83" s="495">
        <f t="shared" si="32"/>
        <v>87550</v>
      </c>
      <c r="Q83" s="620">
        <v>0</v>
      </c>
      <c r="R83" s="2134">
        <f t="shared" si="25"/>
        <v>0</v>
      </c>
      <c r="S83" s="495">
        <v>0</v>
      </c>
      <c r="T83" s="2134">
        <f t="shared" si="25"/>
        <v>0</v>
      </c>
      <c r="U83" s="495">
        <v>87550</v>
      </c>
      <c r="V83" s="2134">
        <f t="shared" si="33"/>
        <v>1</v>
      </c>
      <c r="W83" s="495">
        <v>0</v>
      </c>
      <c r="X83" s="2133">
        <f t="shared" si="34"/>
        <v>0</v>
      </c>
      <c r="Y83" s="495">
        <v>0</v>
      </c>
      <c r="Z83" s="2133">
        <f t="shared" si="35"/>
        <v>0</v>
      </c>
      <c r="AA83" s="495">
        <f t="shared" si="36"/>
        <v>87550</v>
      </c>
      <c r="AB83" s="495">
        <v>0</v>
      </c>
    </row>
    <row r="84" spans="1:28">
      <c r="A84" s="948"/>
      <c r="B84" s="538">
        <v>70</v>
      </c>
      <c r="C84" s="495" t="s">
        <v>1141</v>
      </c>
      <c r="D84" s="495">
        <v>0</v>
      </c>
      <c r="E84" s="495">
        <v>0</v>
      </c>
      <c r="F84" s="495">
        <v>268275</v>
      </c>
      <c r="G84" s="495">
        <v>0</v>
      </c>
      <c r="H84" s="495">
        <v>0</v>
      </c>
      <c r="I84" s="495">
        <v>0</v>
      </c>
      <c r="J84" s="495">
        <v>0</v>
      </c>
      <c r="K84" s="495">
        <v>0</v>
      </c>
      <c r="L84" s="495">
        <v>0</v>
      </c>
      <c r="M84" s="495">
        <v>0</v>
      </c>
      <c r="N84" s="538">
        <v>70</v>
      </c>
      <c r="O84" s="495">
        <v>47815</v>
      </c>
      <c r="P84" s="495">
        <f t="shared" si="32"/>
        <v>316090</v>
      </c>
      <c r="Q84" s="620">
        <v>0</v>
      </c>
      <c r="R84" s="2134">
        <f t="shared" si="25"/>
        <v>0</v>
      </c>
      <c r="S84" s="495">
        <v>12275</v>
      </c>
      <c r="T84" s="2134">
        <f t="shared" si="25"/>
        <v>4.5840724488843243E-2</v>
      </c>
      <c r="U84" s="495">
        <v>255500</v>
      </c>
      <c r="V84" s="2134">
        <f t="shared" si="33"/>
        <v>0.95415927551115676</v>
      </c>
      <c r="W84" s="495">
        <v>0</v>
      </c>
      <c r="X84" s="2133">
        <f t="shared" si="34"/>
        <v>0</v>
      </c>
      <c r="Y84" s="495">
        <v>0</v>
      </c>
      <c r="Z84" s="2133">
        <f t="shared" si="35"/>
        <v>0</v>
      </c>
      <c r="AA84" s="495">
        <f t="shared" si="36"/>
        <v>267775</v>
      </c>
      <c r="AB84" s="495">
        <v>255500</v>
      </c>
    </row>
    <row r="85" spans="1:28">
      <c r="A85" s="948"/>
      <c r="B85" s="538">
        <v>71</v>
      </c>
      <c r="C85" s="488" t="s">
        <v>411</v>
      </c>
      <c r="D85" s="495">
        <v>0</v>
      </c>
      <c r="E85" s="495">
        <v>0</v>
      </c>
      <c r="F85" s="495">
        <v>195552</v>
      </c>
      <c r="G85" s="495">
        <v>3178</v>
      </c>
      <c r="H85" s="495">
        <v>0</v>
      </c>
      <c r="I85" s="495">
        <v>0</v>
      </c>
      <c r="J85" s="495">
        <v>0</v>
      </c>
      <c r="K85" s="495">
        <v>0</v>
      </c>
      <c r="L85" s="495">
        <v>0</v>
      </c>
      <c r="M85" s="495">
        <v>0</v>
      </c>
      <c r="N85" s="538">
        <v>71</v>
      </c>
      <c r="O85" s="495">
        <v>0</v>
      </c>
      <c r="P85" s="495">
        <f t="shared" si="32"/>
        <v>198730</v>
      </c>
      <c r="Q85" s="626">
        <v>0</v>
      </c>
      <c r="R85" s="2130">
        <f t="shared" si="25"/>
        <v>0</v>
      </c>
      <c r="S85" s="488">
        <v>198730</v>
      </c>
      <c r="T85" s="2130">
        <f t="shared" si="25"/>
        <v>1</v>
      </c>
      <c r="U85" s="488">
        <v>0</v>
      </c>
      <c r="V85" s="2130">
        <f t="shared" si="33"/>
        <v>0</v>
      </c>
      <c r="W85" s="488">
        <v>0</v>
      </c>
      <c r="X85" s="2129">
        <f t="shared" si="34"/>
        <v>0</v>
      </c>
      <c r="Y85" s="488">
        <v>0</v>
      </c>
      <c r="Z85" s="2129">
        <f t="shared" si="35"/>
        <v>0</v>
      </c>
      <c r="AA85" s="488">
        <f t="shared" si="36"/>
        <v>198730</v>
      </c>
      <c r="AB85" s="488">
        <v>0</v>
      </c>
    </row>
    <row r="86" spans="1:28" ht="13.5" thickBot="1">
      <c r="A86" s="948"/>
      <c r="B86" s="517">
        <v>72</v>
      </c>
      <c r="C86" s="491" t="s">
        <v>1142</v>
      </c>
      <c r="D86" s="495">
        <v>0</v>
      </c>
      <c r="E86" s="495">
        <v>0</v>
      </c>
      <c r="F86" s="495">
        <v>11412</v>
      </c>
      <c r="G86" s="495">
        <v>0</v>
      </c>
      <c r="H86" s="495">
        <v>0</v>
      </c>
      <c r="I86" s="495">
        <v>0</v>
      </c>
      <c r="J86" s="495">
        <v>40622</v>
      </c>
      <c r="K86" s="495">
        <v>2</v>
      </c>
      <c r="L86" s="495">
        <v>0</v>
      </c>
      <c r="M86" s="495">
        <v>0</v>
      </c>
      <c r="N86" s="517">
        <v>72</v>
      </c>
      <c r="O86" s="495">
        <v>22787</v>
      </c>
      <c r="P86" s="495">
        <f t="shared" si="32"/>
        <v>74821</v>
      </c>
      <c r="Q86" s="619">
        <v>21635</v>
      </c>
      <c r="R86" s="2132">
        <f t="shared" si="25"/>
        <v>0.28915678753291191</v>
      </c>
      <c r="S86" s="491">
        <v>11412</v>
      </c>
      <c r="T86" s="2132">
        <f t="shared" si="25"/>
        <v>0.15252402400395612</v>
      </c>
      <c r="U86" s="491">
        <v>0</v>
      </c>
      <c r="V86" s="2132">
        <f t="shared" si="33"/>
        <v>0</v>
      </c>
      <c r="W86" s="491">
        <v>41774</v>
      </c>
      <c r="X86" s="2131">
        <f t="shared" si="34"/>
        <v>0.558319188463132</v>
      </c>
      <c r="Y86" s="491">
        <v>0</v>
      </c>
      <c r="Z86" s="2131">
        <f t="shared" si="35"/>
        <v>0</v>
      </c>
      <c r="AA86" s="491">
        <f t="shared" si="36"/>
        <v>74821</v>
      </c>
      <c r="AB86" s="491">
        <v>0</v>
      </c>
    </row>
    <row r="87" spans="1:28" ht="13.5" thickTop="1">
      <c r="A87" s="948"/>
      <c r="B87" s="502"/>
      <c r="C87" s="536" t="s">
        <v>34</v>
      </c>
      <c r="D87" s="624">
        <f t="shared" ref="D87:M87" si="37">SUM(D77:D86)</f>
        <v>0</v>
      </c>
      <c r="E87" s="624">
        <f t="shared" si="37"/>
        <v>164200</v>
      </c>
      <c r="F87" s="624">
        <f t="shared" si="37"/>
        <v>2195180</v>
      </c>
      <c r="G87" s="624">
        <f t="shared" si="37"/>
        <v>36651</v>
      </c>
      <c r="H87" s="624">
        <f t="shared" si="37"/>
        <v>0</v>
      </c>
      <c r="I87" s="624">
        <f t="shared" si="37"/>
        <v>0</v>
      </c>
      <c r="J87" s="624">
        <f t="shared" si="37"/>
        <v>222884</v>
      </c>
      <c r="K87" s="624">
        <f t="shared" si="37"/>
        <v>14</v>
      </c>
      <c r="L87" s="624">
        <f t="shared" si="37"/>
        <v>0</v>
      </c>
      <c r="M87" s="624">
        <f t="shared" si="37"/>
        <v>0</v>
      </c>
      <c r="N87" s="502"/>
      <c r="O87" s="624">
        <f>SUM(O77:O86)</f>
        <v>261506</v>
      </c>
      <c r="P87" s="624">
        <f>SUM(P77:P86)</f>
        <v>2880421</v>
      </c>
      <c r="Q87" s="624">
        <f>SUM(Q77:Q86)</f>
        <v>204465</v>
      </c>
      <c r="R87" s="2159">
        <f t="shared" si="25"/>
        <v>8.0124694582525913E-2</v>
      </c>
      <c r="S87" s="624">
        <f>SUM(S77:S86)</f>
        <v>443379</v>
      </c>
      <c r="T87" s="2159">
        <f t="shared" si="25"/>
        <v>0.17374908644171744</v>
      </c>
      <c r="U87" s="624">
        <f>SUM(U77:U86)</f>
        <v>1658390</v>
      </c>
      <c r="V87" s="2159">
        <f t="shared" si="33"/>
        <v>0.64988135988416174</v>
      </c>
      <c r="W87" s="624">
        <f>SUM(W77:W86)</f>
        <v>245601</v>
      </c>
      <c r="X87" s="2159">
        <f t="shared" si="34"/>
        <v>9.6244859091594873E-2</v>
      </c>
      <c r="Y87" s="624">
        <f>SUM(Y77:Y86)</f>
        <v>0</v>
      </c>
      <c r="Z87" s="2159">
        <f t="shared" si="35"/>
        <v>0</v>
      </c>
      <c r="AA87" s="624">
        <f>SUM(AA77:AA86)</f>
        <v>2551835</v>
      </c>
      <c r="AB87" s="624">
        <f>SUM(AB77:AB86)</f>
        <v>255500</v>
      </c>
    </row>
    <row r="88" spans="1:28">
      <c r="A88" s="949"/>
      <c r="B88" s="509"/>
      <c r="C88" s="537"/>
      <c r="D88" s="543"/>
      <c r="E88" s="543"/>
      <c r="F88" s="543"/>
      <c r="G88" s="543"/>
      <c r="H88" s="543"/>
      <c r="I88" s="543"/>
      <c r="J88" s="543"/>
      <c r="K88" s="543"/>
      <c r="L88" s="543"/>
      <c r="M88" s="543"/>
      <c r="N88" s="509"/>
      <c r="O88" s="543"/>
      <c r="P88" s="543"/>
      <c r="Q88" s="625"/>
      <c r="R88" s="2160"/>
      <c r="S88" s="511"/>
      <c r="T88" s="2160"/>
      <c r="U88" s="543"/>
      <c r="V88" s="2163"/>
      <c r="W88" s="543"/>
      <c r="X88" s="2164"/>
      <c r="Y88" s="543"/>
      <c r="Z88" s="2164"/>
      <c r="AA88" s="543"/>
      <c r="AB88" s="543"/>
    </row>
    <row r="89" spans="1:28">
      <c r="A89" s="947" t="s">
        <v>1143</v>
      </c>
      <c r="B89" s="535">
        <v>73</v>
      </c>
      <c r="C89" s="491" t="s">
        <v>1214</v>
      </c>
      <c r="D89" s="491">
        <v>0</v>
      </c>
      <c r="E89" s="491">
        <v>0</v>
      </c>
      <c r="F89" s="491">
        <v>519478</v>
      </c>
      <c r="G89" s="491">
        <v>0</v>
      </c>
      <c r="H89" s="491">
        <v>1060</v>
      </c>
      <c r="I89" s="491">
        <v>1</v>
      </c>
      <c r="J89" s="491">
        <v>55859</v>
      </c>
      <c r="K89" s="491">
        <v>2</v>
      </c>
      <c r="L89" s="491">
        <v>0</v>
      </c>
      <c r="M89" s="491">
        <v>0</v>
      </c>
      <c r="N89" s="535">
        <v>73</v>
      </c>
      <c r="O89" s="491">
        <v>0</v>
      </c>
      <c r="P89" s="491">
        <f t="shared" ref="P89:P107" si="38">D89+E89+F89+G89+H89+J89+L89+M89+O89</f>
        <v>576397</v>
      </c>
      <c r="Q89" s="619">
        <v>55859</v>
      </c>
      <c r="R89" s="2132">
        <f t="shared" ref="R89:T110" si="39">Q89/$AA89</f>
        <v>9.6910636245504403E-2</v>
      </c>
      <c r="S89" s="491">
        <v>43494</v>
      </c>
      <c r="T89" s="2132">
        <f t="shared" ref="T89:T108" si="40">S89/$AA89</f>
        <v>7.5458408006981295E-2</v>
      </c>
      <c r="U89" s="491">
        <v>1060</v>
      </c>
      <c r="V89" s="2132">
        <f t="shared" ref="V89:V108" si="41">U89/$AA89</f>
        <v>1.8390102654940953E-3</v>
      </c>
      <c r="W89" s="491">
        <v>475984</v>
      </c>
      <c r="X89" s="2131">
        <f t="shared" ref="X89:X108" si="42">W89/$AA89</f>
        <v>0.82579194548202017</v>
      </c>
      <c r="Y89" s="491">
        <v>0</v>
      </c>
      <c r="Z89" s="2131">
        <f t="shared" ref="Z89:Z108" si="43">Y89/$AA89</f>
        <v>0</v>
      </c>
      <c r="AA89" s="491">
        <f t="shared" ref="AA89:AA107" si="44">Q89+S89+U89+W89+Y89</f>
        <v>576397</v>
      </c>
      <c r="AB89" s="491">
        <v>0</v>
      </c>
    </row>
    <row r="90" spans="1:28">
      <c r="A90" s="948"/>
      <c r="B90" s="538">
        <v>74</v>
      </c>
      <c r="C90" s="495" t="s">
        <v>1145</v>
      </c>
      <c r="D90" s="495">
        <v>0</v>
      </c>
      <c r="E90" s="495">
        <v>0</v>
      </c>
      <c r="F90" s="495">
        <v>383363</v>
      </c>
      <c r="G90" s="495">
        <v>322845</v>
      </c>
      <c r="H90" s="495">
        <v>0</v>
      </c>
      <c r="I90" s="495">
        <v>0</v>
      </c>
      <c r="J90" s="495">
        <v>0</v>
      </c>
      <c r="K90" s="495">
        <v>0</v>
      </c>
      <c r="L90" s="495">
        <v>0</v>
      </c>
      <c r="M90" s="495">
        <v>0</v>
      </c>
      <c r="N90" s="538">
        <v>74</v>
      </c>
      <c r="O90" s="495">
        <v>206313</v>
      </c>
      <c r="P90" s="495">
        <f t="shared" si="38"/>
        <v>912521</v>
      </c>
      <c r="Q90" s="620">
        <v>380946</v>
      </c>
      <c r="R90" s="2134">
        <f t="shared" si="39"/>
        <v>0.54147489673562332</v>
      </c>
      <c r="S90" s="495">
        <v>0</v>
      </c>
      <c r="T90" s="2134">
        <f t="shared" si="40"/>
        <v>0</v>
      </c>
      <c r="U90" s="495">
        <v>322588</v>
      </c>
      <c r="V90" s="2134">
        <f t="shared" si="41"/>
        <v>0.45852510326437668</v>
      </c>
      <c r="W90" s="495">
        <v>0</v>
      </c>
      <c r="X90" s="2133">
        <f t="shared" si="42"/>
        <v>0</v>
      </c>
      <c r="Y90" s="495">
        <v>0</v>
      </c>
      <c r="Z90" s="2133">
        <f t="shared" si="43"/>
        <v>0</v>
      </c>
      <c r="AA90" s="495">
        <f t="shared" si="44"/>
        <v>703534</v>
      </c>
      <c r="AB90" s="495">
        <v>0</v>
      </c>
    </row>
    <row r="91" spans="1:28">
      <c r="A91" s="948"/>
      <c r="B91" s="539">
        <v>75</v>
      </c>
      <c r="C91" s="139" t="s">
        <v>1146</v>
      </c>
      <c r="D91" s="592">
        <v>0</v>
      </c>
      <c r="E91" s="592">
        <v>0</v>
      </c>
      <c r="F91" s="592">
        <v>591300</v>
      </c>
      <c r="G91" s="592">
        <v>0</v>
      </c>
      <c r="H91" s="592">
        <v>0</v>
      </c>
      <c r="I91" s="592">
        <v>0</v>
      </c>
      <c r="J91" s="592">
        <v>0</v>
      </c>
      <c r="K91" s="592">
        <v>0</v>
      </c>
      <c r="L91" s="592">
        <v>0</v>
      </c>
      <c r="M91" s="592">
        <v>0</v>
      </c>
      <c r="N91" s="539">
        <v>75</v>
      </c>
      <c r="O91" s="592">
        <v>0</v>
      </c>
      <c r="P91" s="592">
        <f t="shared" si="38"/>
        <v>591300</v>
      </c>
      <c r="Q91" s="629">
        <v>0</v>
      </c>
      <c r="R91" s="2165">
        <f t="shared" si="39"/>
        <v>0</v>
      </c>
      <c r="S91" s="592">
        <v>0</v>
      </c>
      <c r="T91" s="2165">
        <f t="shared" si="40"/>
        <v>0</v>
      </c>
      <c r="U91" s="592">
        <v>289810</v>
      </c>
      <c r="V91" s="2165">
        <f t="shared" si="41"/>
        <v>1</v>
      </c>
      <c r="W91" s="592">
        <v>0</v>
      </c>
      <c r="X91" s="2166">
        <f t="shared" si="42"/>
        <v>0</v>
      </c>
      <c r="Y91" s="592">
        <v>0</v>
      </c>
      <c r="Z91" s="2166">
        <f t="shared" si="43"/>
        <v>0</v>
      </c>
      <c r="AA91" s="592">
        <f t="shared" si="44"/>
        <v>289810</v>
      </c>
      <c r="AB91" s="592">
        <v>0</v>
      </c>
    </row>
    <row r="92" spans="1:28">
      <c r="A92" s="948"/>
      <c r="B92" s="518">
        <v>76</v>
      </c>
      <c r="C92" s="142" t="s">
        <v>1147</v>
      </c>
      <c r="D92" s="569">
        <v>0</v>
      </c>
      <c r="E92" s="569">
        <v>0</v>
      </c>
      <c r="F92" s="569">
        <v>0</v>
      </c>
      <c r="G92" s="569">
        <v>83950</v>
      </c>
      <c r="H92" s="569">
        <v>0</v>
      </c>
      <c r="I92" s="569">
        <v>0</v>
      </c>
      <c r="J92" s="569">
        <v>0</v>
      </c>
      <c r="K92" s="569">
        <v>0</v>
      </c>
      <c r="L92" s="569">
        <v>0</v>
      </c>
      <c r="M92" s="569">
        <v>0</v>
      </c>
      <c r="N92" s="518">
        <v>76</v>
      </c>
      <c r="O92" s="569">
        <v>0</v>
      </c>
      <c r="P92" s="569">
        <f t="shared" si="38"/>
        <v>83950</v>
      </c>
      <c r="Q92" s="630">
        <v>83950</v>
      </c>
      <c r="R92" s="2150">
        <f t="shared" si="39"/>
        <v>1</v>
      </c>
      <c r="S92" s="569">
        <v>0</v>
      </c>
      <c r="T92" s="2150">
        <f t="shared" si="40"/>
        <v>0</v>
      </c>
      <c r="U92" s="569">
        <v>0</v>
      </c>
      <c r="V92" s="2150">
        <f t="shared" si="41"/>
        <v>0</v>
      </c>
      <c r="W92" s="569">
        <v>0</v>
      </c>
      <c r="X92" s="2149">
        <f t="shared" si="42"/>
        <v>0</v>
      </c>
      <c r="Y92" s="569">
        <v>0</v>
      </c>
      <c r="Z92" s="2149">
        <f t="shared" si="43"/>
        <v>0</v>
      </c>
      <c r="AA92" s="569">
        <f t="shared" si="44"/>
        <v>83950</v>
      </c>
      <c r="AB92" s="569">
        <v>0</v>
      </c>
    </row>
    <row r="93" spans="1:28">
      <c r="A93" s="948"/>
      <c r="B93" s="518">
        <v>77</v>
      </c>
      <c r="C93" s="472" t="s">
        <v>1148</v>
      </c>
      <c r="D93" s="472">
        <v>0</v>
      </c>
      <c r="E93" s="472">
        <v>0</v>
      </c>
      <c r="F93" s="472">
        <v>0</v>
      </c>
      <c r="G93" s="472">
        <v>17082</v>
      </c>
      <c r="H93" s="472">
        <v>0</v>
      </c>
      <c r="I93" s="472">
        <v>0</v>
      </c>
      <c r="J93" s="472">
        <v>0</v>
      </c>
      <c r="K93" s="472">
        <v>0</v>
      </c>
      <c r="L93" s="472">
        <v>0</v>
      </c>
      <c r="M93" s="472">
        <v>0</v>
      </c>
      <c r="N93" s="518">
        <v>77</v>
      </c>
      <c r="O93" s="472">
        <v>0</v>
      </c>
      <c r="P93" s="472">
        <f t="shared" si="38"/>
        <v>17082</v>
      </c>
      <c r="Q93" s="623">
        <v>17082</v>
      </c>
      <c r="R93" s="2136">
        <f t="shared" si="39"/>
        <v>1</v>
      </c>
      <c r="S93" s="472">
        <v>0</v>
      </c>
      <c r="T93" s="2136">
        <f t="shared" si="40"/>
        <v>0</v>
      </c>
      <c r="U93" s="472">
        <v>0</v>
      </c>
      <c r="V93" s="2136">
        <f t="shared" si="41"/>
        <v>0</v>
      </c>
      <c r="W93" s="472">
        <v>0</v>
      </c>
      <c r="X93" s="2135">
        <f t="shared" si="42"/>
        <v>0</v>
      </c>
      <c r="Y93" s="472">
        <v>0</v>
      </c>
      <c r="Z93" s="2135">
        <f t="shared" si="43"/>
        <v>0</v>
      </c>
      <c r="AA93" s="472">
        <f t="shared" si="44"/>
        <v>17082</v>
      </c>
      <c r="AB93" s="472">
        <v>0</v>
      </c>
    </row>
    <row r="94" spans="1:28">
      <c r="A94" s="948"/>
      <c r="B94" s="518">
        <v>78</v>
      </c>
      <c r="C94" s="472" t="s">
        <v>1149</v>
      </c>
      <c r="D94" s="472">
        <v>0</v>
      </c>
      <c r="E94" s="472">
        <v>0</v>
      </c>
      <c r="F94" s="472">
        <v>0</v>
      </c>
      <c r="G94" s="472">
        <v>153300</v>
      </c>
      <c r="H94" s="472">
        <v>0</v>
      </c>
      <c r="I94" s="472">
        <v>0</v>
      </c>
      <c r="J94" s="472">
        <v>0</v>
      </c>
      <c r="K94" s="472">
        <v>0</v>
      </c>
      <c r="L94" s="472">
        <v>0</v>
      </c>
      <c r="M94" s="472">
        <v>0</v>
      </c>
      <c r="N94" s="518">
        <v>78</v>
      </c>
      <c r="O94" s="472">
        <v>0</v>
      </c>
      <c r="P94" s="472">
        <f t="shared" si="38"/>
        <v>153300</v>
      </c>
      <c r="Q94" s="623">
        <v>70080</v>
      </c>
      <c r="R94" s="2136">
        <f t="shared" si="39"/>
        <v>1</v>
      </c>
      <c r="S94" s="472">
        <v>0</v>
      </c>
      <c r="T94" s="2136">
        <f t="shared" si="40"/>
        <v>0</v>
      </c>
      <c r="U94" s="472">
        <v>0</v>
      </c>
      <c r="V94" s="2136">
        <f t="shared" si="41"/>
        <v>0</v>
      </c>
      <c r="W94" s="472">
        <v>0</v>
      </c>
      <c r="X94" s="2135">
        <f t="shared" si="42"/>
        <v>0</v>
      </c>
      <c r="Y94" s="472">
        <v>0</v>
      </c>
      <c r="Z94" s="2135">
        <f t="shared" si="43"/>
        <v>0</v>
      </c>
      <c r="AA94" s="472">
        <f t="shared" si="44"/>
        <v>70080</v>
      </c>
      <c r="AB94" s="472">
        <v>0</v>
      </c>
    </row>
    <row r="95" spans="1:28">
      <c r="A95" s="948"/>
      <c r="B95" s="518">
        <v>79</v>
      </c>
      <c r="C95" s="472" t="s">
        <v>1150</v>
      </c>
      <c r="D95" s="472">
        <v>0</v>
      </c>
      <c r="E95" s="472">
        <v>0</v>
      </c>
      <c r="F95" s="472">
        <v>34310</v>
      </c>
      <c r="G95" s="472">
        <v>0</v>
      </c>
      <c r="H95" s="472">
        <v>0</v>
      </c>
      <c r="I95" s="472">
        <v>0</v>
      </c>
      <c r="J95" s="472">
        <v>0</v>
      </c>
      <c r="K95" s="472">
        <v>0</v>
      </c>
      <c r="L95" s="472">
        <v>0</v>
      </c>
      <c r="M95" s="472">
        <v>0</v>
      </c>
      <c r="N95" s="518">
        <v>79</v>
      </c>
      <c r="O95" s="472">
        <v>0</v>
      </c>
      <c r="P95" s="472">
        <f t="shared" si="38"/>
        <v>34310</v>
      </c>
      <c r="Q95" s="623">
        <v>0</v>
      </c>
      <c r="R95" s="2136">
        <f t="shared" si="39"/>
        <v>0</v>
      </c>
      <c r="S95" s="472">
        <v>26280</v>
      </c>
      <c r="T95" s="2136">
        <f t="shared" si="40"/>
        <v>1</v>
      </c>
      <c r="U95" s="472">
        <v>0</v>
      </c>
      <c r="V95" s="2136">
        <f t="shared" si="41"/>
        <v>0</v>
      </c>
      <c r="W95" s="472">
        <v>0</v>
      </c>
      <c r="X95" s="2135">
        <f t="shared" si="42"/>
        <v>0</v>
      </c>
      <c r="Y95" s="472">
        <v>0</v>
      </c>
      <c r="Z95" s="2135">
        <f t="shared" si="43"/>
        <v>0</v>
      </c>
      <c r="AA95" s="472">
        <f t="shared" si="44"/>
        <v>26280</v>
      </c>
      <c r="AB95" s="472">
        <v>0</v>
      </c>
    </row>
    <row r="96" spans="1:28">
      <c r="A96" s="948"/>
      <c r="B96" s="517">
        <v>80</v>
      </c>
      <c r="C96" s="482" t="s">
        <v>1151</v>
      </c>
      <c r="D96" s="482">
        <v>0</v>
      </c>
      <c r="E96" s="482">
        <v>0</v>
      </c>
      <c r="F96" s="482">
        <v>277400</v>
      </c>
      <c r="G96" s="482">
        <v>0</v>
      </c>
      <c r="H96" s="482">
        <v>0</v>
      </c>
      <c r="I96" s="482">
        <v>0</v>
      </c>
      <c r="J96" s="482">
        <v>0</v>
      </c>
      <c r="K96" s="482">
        <v>0</v>
      </c>
      <c r="L96" s="482">
        <v>0</v>
      </c>
      <c r="M96" s="482">
        <v>0</v>
      </c>
      <c r="N96" s="517">
        <v>80</v>
      </c>
      <c r="O96" s="482">
        <v>0</v>
      </c>
      <c r="P96" s="482">
        <f t="shared" si="38"/>
        <v>277400</v>
      </c>
      <c r="Q96" s="621">
        <v>0</v>
      </c>
      <c r="R96" s="2128">
        <f t="shared" si="39"/>
        <v>0</v>
      </c>
      <c r="S96" s="482">
        <v>0</v>
      </c>
      <c r="T96" s="2128">
        <f t="shared" si="40"/>
        <v>0</v>
      </c>
      <c r="U96" s="482">
        <v>157680</v>
      </c>
      <c r="V96" s="2128">
        <f t="shared" si="41"/>
        <v>0.6</v>
      </c>
      <c r="W96" s="482">
        <v>105120</v>
      </c>
      <c r="X96" s="2127">
        <f t="shared" si="42"/>
        <v>0.4</v>
      </c>
      <c r="Y96" s="482">
        <v>0</v>
      </c>
      <c r="Z96" s="2127">
        <f t="shared" si="43"/>
        <v>0</v>
      </c>
      <c r="AA96" s="482">
        <f t="shared" si="44"/>
        <v>262800</v>
      </c>
      <c r="AB96" s="482">
        <v>0</v>
      </c>
    </row>
    <row r="97" spans="1:28">
      <c r="A97" s="948"/>
      <c r="B97" s="518">
        <v>81</v>
      </c>
      <c r="C97" s="472" t="s">
        <v>1152</v>
      </c>
      <c r="D97" s="472">
        <v>0</v>
      </c>
      <c r="E97" s="472">
        <v>0</v>
      </c>
      <c r="F97" s="472">
        <v>0</v>
      </c>
      <c r="G97" s="472">
        <v>0</v>
      </c>
      <c r="H97" s="472">
        <v>0</v>
      </c>
      <c r="I97" s="472">
        <v>0</v>
      </c>
      <c r="J97" s="472">
        <v>0</v>
      </c>
      <c r="K97" s="472">
        <v>0</v>
      </c>
      <c r="L97" s="472">
        <v>0</v>
      </c>
      <c r="M97" s="472">
        <v>0</v>
      </c>
      <c r="N97" s="518">
        <v>81</v>
      </c>
      <c r="O97" s="472">
        <v>547500</v>
      </c>
      <c r="P97" s="472">
        <f t="shared" si="38"/>
        <v>547500</v>
      </c>
      <c r="Q97" s="621">
        <v>471580</v>
      </c>
      <c r="R97" s="2128">
        <f t="shared" si="39"/>
        <v>1</v>
      </c>
      <c r="S97" s="482">
        <v>0</v>
      </c>
      <c r="T97" s="2128">
        <f t="shared" si="40"/>
        <v>0</v>
      </c>
      <c r="U97" s="482">
        <v>0</v>
      </c>
      <c r="V97" s="2128">
        <f t="shared" si="41"/>
        <v>0</v>
      </c>
      <c r="W97" s="482">
        <v>0</v>
      </c>
      <c r="X97" s="2127">
        <f t="shared" si="42"/>
        <v>0</v>
      </c>
      <c r="Y97" s="482">
        <v>0</v>
      </c>
      <c r="Z97" s="2127">
        <f t="shared" si="43"/>
        <v>0</v>
      </c>
      <c r="AA97" s="482">
        <f t="shared" si="44"/>
        <v>471580</v>
      </c>
      <c r="AB97" s="482">
        <v>0</v>
      </c>
    </row>
    <row r="98" spans="1:28">
      <c r="A98" s="948"/>
      <c r="B98" s="518">
        <v>82</v>
      </c>
      <c r="C98" s="472" t="s">
        <v>1153</v>
      </c>
      <c r="D98" s="472">
        <v>0</v>
      </c>
      <c r="E98" s="472">
        <v>0</v>
      </c>
      <c r="F98" s="472">
        <v>0</v>
      </c>
      <c r="G98" s="472">
        <v>0</v>
      </c>
      <c r="H98" s="472">
        <v>21462</v>
      </c>
      <c r="I98" s="472">
        <v>1</v>
      </c>
      <c r="J98" s="472">
        <v>164688</v>
      </c>
      <c r="K98" s="472">
        <v>1</v>
      </c>
      <c r="L98" s="472">
        <v>0</v>
      </c>
      <c r="M98" s="472">
        <v>0</v>
      </c>
      <c r="N98" s="518">
        <v>82</v>
      </c>
      <c r="O98" s="472">
        <v>0</v>
      </c>
      <c r="P98" s="472">
        <f t="shared" si="38"/>
        <v>186150</v>
      </c>
      <c r="Q98" s="623">
        <v>186150</v>
      </c>
      <c r="R98" s="2136">
        <f t="shared" si="39"/>
        <v>1</v>
      </c>
      <c r="S98" s="472">
        <v>0</v>
      </c>
      <c r="T98" s="2136">
        <f t="shared" si="40"/>
        <v>0</v>
      </c>
      <c r="U98" s="472">
        <v>0</v>
      </c>
      <c r="V98" s="2136">
        <f t="shared" si="41"/>
        <v>0</v>
      </c>
      <c r="W98" s="472">
        <v>0</v>
      </c>
      <c r="X98" s="2135">
        <f t="shared" si="42"/>
        <v>0</v>
      </c>
      <c r="Y98" s="472">
        <v>0</v>
      </c>
      <c r="Z98" s="2135">
        <f t="shared" si="43"/>
        <v>0</v>
      </c>
      <c r="AA98" s="472">
        <f t="shared" si="44"/>
        <v>186150</v>
      </c>
      <c r="AB98" s="472">
        <v>0</v>
      </c>
    </row>
    <row r="99" spans="1:28">
      <c r="A99" s="948"/>
      <c r="B99" s="518">
        <v>83</v>
      </c>
      <c r="C99" s="472" t="s">
        <v>1154</v>
      </c>
      <c r="D99" s="472">
        <v>0</v>
      </c>
      <c r="E99" s="472">
        <v>0</v>
      </c>
      <c r="F99" s="472">
        <v>0</v>
      </c>
      <c r="G99" s="472">
        <v>0</v>
      </c>
      <c r="H99" s="472">
        <v>0</v>
      </c>
      <c r="I99" s="472">
        <v>0</v>
      </c>
      <c r="J99" s="472">
        <v>0</v>
      </c>
      <c r="K99" s="472">
        <v>0</v>
      </c>
      <c r="L99" s="472">
        <v>0</v>
      </c>
      <c r="M99" s="472">
        <v>0</v>
      </c>
      <c r="N99" s="518">
        <v>83</v>
      </c>
      <c r="O99" s="472">
        <v>677805</v>
      </c>
      <c r="P99" s="472">
        <f t="shared" si="38"/>
        <v>677805</v>
      </c>
      <c r="Q99" s="623">
        <v>462090</v>
      </c>
      <c r="R99" s="2136">
        <f t="shared" si="39"/>
        <v>1</v>
      </c>
      <c r="S99" s="472">
        <v>0</v>
      </c>
      <c r="T99" s="2136">
        <f t="shared" si="40"/>
        <v>0</v>
      </c>
      <c r="U99" s="472">
        <v>0</v>
      </c>
      <c r="V99" s="2136">
        <f t="shared" si="41"/>
        <v>0</v>
      </c>
      <c r="W99" s="472">
        <v>0</v>
      </c>
      <c r="X99" s="2135">
        <f t="shared" si="42"/>
        <v>0</v>
      </c>
      <c r="Y99" s="472">
        <v>0</v>
      </c>
      <c r="Z99" s="2135">
        <f t="shared" si="43"/>
        <v>0</v>
      </c>
      <c r="AA99" s="472">
        <f t="shared" si="44"/>
        <v>462090</v>
      </c>
      <c r="AB99" s="472">
        <v>0</v>
      </c>
    </row>
    <row r="100" spans="1:28">
      <c r="A100" s="948"/>
      <c r="B100" s="518">
        <v>84</v>
      </c>
      <c r="C100" s="472" t="s">
        <v>1155</v>
      </c>
      <c r="D100" s="472">
        <v>0</v>
      </c>
      <c r="E100" s="472">
        <v>0</v>
      </c>
      <c r="F100" s="472">
        <v>0</v>
      </c>
      <c r="G100" s="472">
        <v>0</v>
      </c>
      <c r="H100" s="472">
        <v>0</v>
      </c>
      <c r="I100" s="472">
        <v>0</v>
      </c>
      <c r="J100" s="472">
        <v>0</v>
      </c>
      <c r="K100" s="472">
        <v>0</v>
      </c>
      <c r="L100" s="472">
        <v>0</v>
      </c>
      <c r="M100" s="472">
        <v>0</v>
      </c>
      <c r="N100" s="518">
        <v>84</v>
      </c>
      <c r="O100" s="472">
        <v>43435</v>
      </c>
      <c r="P100" s="472">
        <f t="shared" si="38"/>
        <v>43435</v>
      </c>
      <c r="Q100" s="623">
        <v>35770</v>
      </c>
      <c r="R100" s="2136">
        <f t="shared" si="39"/>
        <v>1</v>
      </c>
      <c r="S100" s="472">
        <v>0</v>
      </c>
      <c r="T100" s="2136">
        <f t="shared" si="40"/>
        <v>0</v>
      </c>
      <c r="U100" s="472">
        <v>0</v>
      </c>
      <c r="V100" s="2136">
        <f t="shared" si="41"/>
        <v>0</v>
      </c>
      <c r="W100" s="472">
        <v>0</v>
      </c>
      <c r="X100" s="2135">
        <f t="shared" si="42"/>
        <v>0</v>
      </c>
      <c r="Y100" s="472">
        <v>0</v>
      </c>
      <c r="Z100" s="2135">
        <f t="shared" si="43"/>
        <v>0</v>
      </c>
      <c r="AA100" s="472">
        <f t="shared" si="44"/>
        <v>35770</v>
      </c>
      <c r="AB100" s="472">
        <v>0</v>
      </c>
    </row>
    <row r="101" spans="1:28">
      <c r="A101" s="948"/>
      <c r="B101" s="521">
        <v>85</v>
      </c>
      <c r="C101" s="478" t="s">
        <v>1156</v>
      </c>
      <c r="D101" s="478">
        <v>0</v>
      </c>
      <c r="E101" s="478">
        <v>0</v>
      </c>
      <c r="F101" s="478">
        <v>0</v>
      </c>
      <c r="G101" s="478">
        <v>105068</v>
      </c>
      <c r="H101" s="478">
        <v>0</v>
      </c>
      <c r="I101" s="478">
        <v>0</v>
      </c>
      <c r="J101" s="478">
        <v>0</v>
      </c>
      <c r="K101" s="478">
        <v>0</v>
      </c>
      <c r="L101" s="478">
        <v>0</v>
      </c>
      <c r="M101" s="478">
        <v>0</v>
      </c>
      <c r="N101" s="521">
        <v>85</v>
      </c>
      <c r="O101" s="478">
        <v>0</v>
      </c>
      <c r="P101" s="478">
        <f t="shared" si="38"/>
        <v>105068</v>
      </c>
      <c r="Q101" s="622">
        <v>105068</v>
      </c>
      <c r="R101" s="2126">
        <f t="shared" si="39"/>
        <v>1</v>
      </c>
      <c r="S101" s="478">
        <v>0</v>
      </c>
      <c r="T101" s="2126">
        <f t="shared" si="40"/>
        <v>0</v>
      </c>
      <c r="U101" s="478">
        <v>0</v>
      </c>
      <c r="V101" s="2126">
        <f t="shared" si="41"/>
        <v>0</v>
      </c>
      <c r="W101" s="478">
        <v>0</v>
      </c>
      <c r="X101" s="2125">
        <f t="shared" si="42"/>
        <v>0</v>
      </c>
      <c r="Y101" s="478">
        <v>0</v>
      </c>
      <c r="Z101" s="2125">
        <f t="shared" si="43"/>
        <v>0</v>
      </c>
      <c r="AA101" s="478">
        <f t="shared" si="44"/>
        <v>105068</v>
      </c>
      <c r="AB101" s="478">
        <v>0</v>
      </c>
    </row>
    <row r="102" spans="1:28">
      <c r="A102" s="948"/>
      <c r="B102" s="521">
        <v>86</v>
      </c>
      <c r="C102" s="521" t="s">
        <v>1215</v>
      </c>
      <c r="D102" s="521">
        <v>0</v>
      </c>
      <c r="E102" s="521">
        <v>0</v>
      </c>
      <c r="F102" s="521">
        <v>255400</v>
      </c>
      <c r="G102" s="521">
        <v>322700</v>
      </c>
      <c r="H102" s="521">
        <v>10940</v>
      </c>
      <c r="I102" s="521">
        <v>1</v>
      </c>
      <c r="J102" s="521">
        <v>0</v>
      </c>
      <c r="K102" s="521">
        <v>0</v>
      </c>
      <c r="L102" s="521">
        <v>0</v>
      </c>
      <c r="M102" s="521">
        <v>0</v>
      </c>
      <c r="N102" s="521">
        <v>86</v>
      </c>
      <c r="O102" s="478">
        <v>132600</v>
      </c>
      <c r="P102" s="478">
        <f t="shared" si="38"/>
        <v>721640</v>
      </c>
      <c r="Q102" s="622">
        <v>90703</v>
      </c>
      <c r="R102" s="2126">
        <f t="shared" si="39"/>
        <v>0.14171723737086503</v>
      </c>
      <c r="S102" s="478">
        <v>312805</v>
      </c>
      <c r="T102" s="2126">
        <f t="shared" si="40"/>
        <v>0.48873643028117519</v>
      </c>
      <c r="U102" s="478">
        <v>236520</v>
      </c>
      <c r="V102" s="2126">
        <f t="shared" si="41"/>
        <v>0.36954633234795975</v>
      </c>
      <c r="W102" s="478">
        <v>0</v>
      </c>
      <c r="X102" s="2125">
        <f t="shared" si="42"/>
        <v>0</v>
      </c>
      <c r="Y102" s="478">
        <v>0</v>
      </c>
      <c r="Z102" s="2125">
        <f t="shared" si="43"/>
        <v>0</v>
      </c>
      <c r="AA102" s="478">
        <f t="shared" si="44"/>
        <v>640028</v>
      </c>
      <c r="AB102" s="478">
        <v>0</v>
      </c>
    </row>
    <row r="103" spans="1:28">
      <c r="A103" s="948"/>
      <c r="B103" s="517">
        <v>87</v>
      </c>
      <c r="C103" s="482" t="s">
        <v>421</v>
      </c>
      <c r="D103" s="482">
        <v>0</v>
      </c>
      <c r="E103" s="482">
        <v>0</v>
      </c>
      <c r="F103" s="482">
        <v>142700</v>
      </c>
      <c r="G103" s="482">
        <v>0</v>
      </c>
      <c r="H103" s="482">
        <v>0</v>
      </c>
      <c r="I103" s="482">
        <v>0</v>
      </c>
      <c r="J103" s="482">
        <v>0</v>
      </c>
      <c r="K103" s="482">
        <v>0</v>
      </c>
      <c r="L103" s="482">
        <v>0</v>
      </c>
      <c r="M103" s="482">
        <v>0</v>
      </c>
      <c r="N103" s="517">
        <v>87</v>
      </c>
      <c r="O103" s="482">
        <v>85278</v>
      </c>
      <c r="P103" s="482">
        <f t="shared" si="38"/>
        <v>227978</v>
      </c>
      <c r="Q103" s="621">
        <v>142700</v>
      </c>
      <c r="R103" s="2128">
        <f t="shared" si="39"/>
        <v>0.62593759046925579</v>
      </c>
      <c r="S103" s="482">
        <v>0</v>
      </c>
      <c r="T103" s="2128">
        <f t="shared" si="40"/>
        <v>0</v>
      </c>
      <c r="U103" s="482">
        <v>85278</v>
      </c>
      <c r="V103" s="2128">
        <f t="shared" si="41"/>
        <v>0.37406240953074421</v>
      </c>
      <c r="W103" s="482">
        <v>0</v>
      </c>
      <c r="X103" s="2127">
        <f t="shared" si="42"/>
        <v>0</v>
      </c>
      <c r="Y103" s="482">
        <v>0</v>
      </c>
      <c r="Z103" s="2127">
        <f t="shared" si="43"/>
        <v>0</v>
      </c>
      <c r="AA103" s="482">
        <f t="shared" si="44"/>
        <v>227978</v>
      </c>
      <c r="AB103" s="482">
        <v>0</v>
      </c>
    </row>
    <row r="104" spans="1:28">
      <c r="A104" s="948"/>
      <c r="B104" s="518">
        <v>88</v>
      </c>
      <c r="C104" s="472" t="s">
        <v>1158</v>
      </c>
      <c r="D104" s="472">
        <v>0</v>
      </c>
      <c r="E104" s="472">
        <v>0</v>
      </c>
      <c r="F104" s="472">
        <v>0</v>
      </c>
      <c r="G104" s="472">
        <v>0</v>
      </c>
      <c r="H104" s="472">
        <v>0</v>
      </c>
      <c r="I104" s="472">
        <v>0</v>
      </c>
      <c r="J104" s="472">
        <v>0</v>
      </c>
      <c r="K104" s="472">
        <v>0</v>
      </c>
      <c r="L104" s="472">
        <v>0</v>
      </c>
      <c r="M104" s="472">
        <v>0</v>
      </c>
      <c r="N104" s="518">
        <v>88</v>
      </c>
      <c r="O104" s="472">
        <v>23360</v>
      </c>
      <c r="P104" s="472">
        <f t="shared" si="38"/>
        <v>23360</v>
      </c>
      <c r="Q104" s="623">
        <v>23360</v>
      </c>
      <c r="R104" s="2136">
        <f t="shared" si="39"/>
        <v>1</v>
      </c>
      <c r="S104" s="472">
        <v>0</v>
      </c>
      <c r="T104" s="2136">
        <f t="shared" si="40"/>
        <v>0</v>
      </c>
      <c r="U104" s="472">
        <v>0</v>
      </c>
      <c r="V104" s="2136">
        <f t="shared" si="41"/>
        <v>0</v>
      </c>
      <c r="W104" s="472">
        <v>0</v>
      </c>
      <c r="X104" s="2135">
        <f t="shared" si="42"/>
        <v>0</v>
      </c>
      <c r="Y104" s="472">
        <v>0</v>
      </c>
      <c r="Z104" s="2135">
        <f t="shared" si="43"/>
        <v>0</v>
      </c>
      <c r="AA104" s="472">
        <f t="shared" si="44"/>
        <v>23360</v>
      </c>
      <c r="AB104" s="472">
        <v>0</v>
      </c>
    </row>
    <row r="105" spans="1:28">
      <c r="A105" s="948"/>
      <c r="B105" s="518">
        <v>89</v>
      </c>
      <c r="C105" s="472" t="s">
        <v>1159</v>
      </c>
      <c r="D105" s="472">
        <v>0</v>
      </c>
      <c r="E105" s="472">
        <v>0</v>
      </c>
      <c r="F105" s="472">
        <v>0</v>
      </c>
      <c r="G105" s="472">
        <v>0</v>
      </c>
      <c r="H105" s="472">
        <v>0</v>
      </c>
      <c r="I105" s="472">
        <v>0</v>
      </c>
      <c r="J105" s="472">
        <v>0</v>
      </c>
      <c r="K105" s="472">
        <v>0</v>
      </c>
      <c r="L105" s="472">
        <v>0</v>
      </c>
      <c r="M105" s="472">
        <v>0</v>
      </c>
      <c r="N105" s="518">
        <v>89</v>
      </c>
      <c r="O105" s="472">
        <v>6205</v>
      </c>
      <c r="P105" s="472">
        <f t="shared" si="38"/>
        <v>6205</v>
      </c>
      <c r="Q105" s="623">
        <v>6205</v>
      </c>
      <c r="R105" s="2136">
        <f t="shared" si="39"/>
        <v>1</v>
      </c>
      <c r="S105" s="472">
        <v>0</v>
      </c>
      <c r="T105" s="2136">
        <f t="shared" si="40"/>
        <v>0</v>
      </c>
      <c r="U105" s="472">
        <v>0</v>
      </c>
      <c r="V105" s="2136">
        <f t="shared" si="41"/>
        <v>0</v>
      </c>
      <c r="W105" s="472">
        <v>0</v>
      </c>
      <c r="X105" s="2135">
        <f t="shared" si="42"/>
        <v>0</v>
      </c>
      <c r="Y105" s="472">
        <v>0</v>
      </c>
      <c r="Z105" s="2135">
        <f t="shared" si="43"/>
        <v>0</v>
      </c>
      <c r="AA105" s="472">
        <f t="shared" si="44"/>
        <v>6205</v>
      </c>
      <c r="AB105" s="472">
        <v>0</v>
      </c>
    </row>
    <row r="106" spans="1:28">
      <c r="A106" s="948"/>
      <c r="B106" s="521">
        <v>90</v>
      </c>
      <c r="C106" s="478" t="s">
        <v>1160</v>
      </c>
      <c r="D106" s="478">
        <v>0</v>
      </c>
      <c r="E106" s="478">
        <v>0</v>
      </c>
      <c r="F106" s="478">
        <v>0</v>
      </c>
      <c r="G106" s="478">
        <v>0</v>
      </c>
      <c r="H106" s="478">
        <v>0</v>
      </c>
      <c r="I106" s="478">
        <v>0</v>
      </c>
      <c r="J106" s="478">
        <v>0</v>
      </c>
      <c r="K106" s="478">
        <v>0</v>
      </c>
      <c r="L106" s="478">
        <v>0</v>
      </c>
      <c r="M106" s="478">
        <v>0</v>
      </c>
      <c r="N106" s="521">
        <v>90</v>
      </c>
      <c r="O106" s="478">
        <v>383250</v>
      </c>
      <c r="P106" s="478">
        <f t="shared" si="38"/>
        <v>383250</v>
      </c>
      <c r="Q106" s="622">
        <v>383250</v>
      </c>
      <c r="R106" s="2126">
        <f t="shared" si="39"/>
        <v>1</v>
      </c>
      <c r="S106" s="478">
        <v>0</v>
      </c>
      <c r="T106" s="2126">
        <f t="shared" si="40"/>
        <v>0</v>
      </c>
      <c r="U106" s="478">
        <v>0</v>
      </c>
      <c r="V106" s="2126">
        <f t="shared" si="41"/>
        <v>0</v>
      </c>
      <c r="W106" s="478">
        <v>0</v>
      </c>
      <c r="X106" s="2125">
        <f t="shared" si="42"/>
        <v>0</v>
      </c>
      <c r="Y106" s="478">
        <v>0</v>
      </c>
      <c r="Z106" s="2125">
        <f t="shared" si="43"/>
        <v>0</v>
      </c>
      <c r="AA106" s="478">
        <f t="shared" si="44"/>
        <v>383250</v>
      </c>
      <c r="AB106" s="478">
        <v>0</v>
      </c>
    </row>
    <row r="107" spans="1:28" ht="13.5" thickBot="1">
      <c r="A107" s="948"/>
      <c r="B107" s="535">
        <v>91</v>
      </c>
      <c r="C107" s="491" t="s">
        <v>422</v>
      </c>
      <c r="D107" s="491">
        <v>0</v>
      </c>
      <c r="E107" s="491">
        <v>0</v>
      </c>
      <c r="F107" s="491">
        <v>926370</v>
      </c>
      <c r="G107" s="491">
        <v>0</v>
      </c>
      <c r="H107" s="491">
        <v>0</v>
      </c>
      <c r="I107" s="491">
        <v>0</v>
      </c>
      <c r="J107" s="491">
        <v>0</v>
      </c>
      <c r="K107" s="491">
        <v>0</v>
      </c>
      <c r="L107" s="491">
        <v>0</v>
      </c>
      <c r="M107" s="491">
        <v>0</v>
      </c>
      <c r="N107" s="535">
        <v>91</v>
      </c>
      <c r="O107" s="491">
        <v>0</v>
      </c>
      <c r="P107" s="491">
        <f t="shared" si="38"/>
        <v>926370</v>
      </c>
      <c r="Q107" s="619">
        <v>0</v>
      </c>
      <c r="R107" s="2132">
        <f t="shared" si="39"/>
        <v>0</v>
      </c>
      <c r="S107" s="491">
        <v>19080</v>
      </c>
      <c r="T107" s="2132">
        <f t="shared" si="40"/>
        <v>3.420071950570281E-2</v>
      </c>
      <c r="U107" s="491">
        <v>162980</v>
      </c>
      <c r="V107" s="2132">
        <f t="shared" si="41"/>
        <v>0.29214010823057879</v>
      </c>
      <c r="W107" s="491">
        <v>375823</v>
      </c>
      <c r="X107" s="2131">
        <f t="shared" si="42"/>
        <v>0.67365917226371841</v>
      </c>
      <c r="Y107" s="491">
        <v>0</v>
      </c>
      <c r="Z107" s="2131">
        <f t="shared" si="43"/>
        <v>0</v>
      </c>
      <c r="AA107" s="491">
        <f t="shared" si="44"/>
        <v>557883</v>
      </c>
      <c r="AB107" s="491">
        <v>0</v>
      </c>
    </row>
    <row r="108" spans="1:28" ht="13.5" thickTop="1">
      <c r="A108" s="948"/>
      <c r="B108" s="502"/>
      <c r="C108" s="536" t="s">
        <v>34</v>
      </c>
      <c r="D108" s="624">
        <f>SUM(D89:D107)</f>
        <v>0</v>
      </c>
      <c r="E108" s="624">
        <f t="shared" ref="E108:M108" si="45">SUM(E89:E107)</f>
        <v>0</v>
      </c>
      <c r="F108" s="624">
        <f t="shared" si="45"/>
        <v>3130321</v>
      </c>
      <c r="G108" s="624">
        <f t="shared" si="45"/>
        <v>1004945</v>
      </c>
      <c r="H108" s="624">
        <f t="shared" si="45"/>
        <v>33462</v>
      </c>
      <c r="I108" s="624">
        <f t="shared" si="45"/>
        <v>3</v>
      </c>
      <c r="J108" s="624">
        <f t="shared" si="45"/>
        <v>220547</v>
      </c>
      <c r="K108" s="624">
        <f t="shared" si="45"/>
        <v>3</v>
      </c>
      <c r="L108" s="624">
        <f t="shared" si="45"/>
        <v>0</v>
      </c>
      <c r="M108" s="624">
        <f t="shared" si="45"/>
        <v>0</v>
      </c>
      <c r="N108" s="502"/>
      <c r="O108" s="624">
        <f>SUM(O89:O107)</f>
        <v>2105746</v>
      </c>
      <c r="P108" s="624">
        <f>SUM(P89:P107)</f>
        <v>6495021</v>
      </c>
      <c r="Q108" s="624">
        <f>SUM(Q89:Q107)</f>
        <v>2514793</v>
      </c>
      <c r="R108" s="2159">
        <f t="shared" si="39"/>
        <v>0.4902804381498822</v>
      </c>
      <c r="S108" s="624">
        <f>SUM(S89:S107)</f>
        <v>401659</v>
      </c>
      <c r="T108" s="2159">
        <f t="shared" si="40"/>
        <v>7.8306862833976212E-2</v>
      </c>
      <c r="U108" s="624">
        <f>SUM(U89:U107)</f>
        <v>1255916</v>
      </c>
      <c r="V108" s="2159">
        <f t="shared" si="41"/>
        <v>0.24485158291734049</v>
      </c>
      <c r="W108" s="624">
        <f>SUM(W89:W107)</f>
        <v>956927</v>
      </c>
      <c r="X108" s="2159">
        <f t="shared" si="42"/>
        <v>0.18656111609880111</v>
      </c>
      <c r="Y108" s="624">
        <f>SUM(Y89:Y107)</f>
        <v>0</v>
      </c>
      <c r="Z108" s="2159">
        <f t="shared" si="43"/>
        <v>0</v>
      </c>
      <c r="AA108" s="624">
        <f t="shared" ref="AA108" si="46">SUM(AA89:AA107)</f>
        <v>5129295</v>
      </c>
      <c r="AB108" s="624">
        <f>SUM(AB89:AB107)</f>
        <v>0</v>
      </c>
    </row>
    <row r="109" spans="1:28">
      <c r="A109" s="949"/>
      <c r="B109" s="509"/>
      <c r="C109" s="537"/>
      <c r="D109" s="543"/>
      <c r="E109" s="543"/>
      <c r="F109" s="543"/>
      <c r="G109" s="543"/>
      <c r="H109" s="543"/>
      <c r="I109" s="543"/>
      <c r="J109" s="543"/>
      <c r="K109" s="543"/>
      <c r="L109" s="543"/>
      <c r="M109" s="543"/>
      <c r="N109" s="509"/>
      <c r="O109" s="543"/>
      <c r="P109" s="543"/>
      <c r="Q109" s="625"/>
      <c r="R109" s="2160"/>
      <c r="S109" s="511"/>
      <c r="T109" s="2160"/>
      <c r="U109" s="543"/>
      <c r="V109" s="2163"/>
      <c r="W109" s="543"/>
      <c r="X109" s="2164"/>
      <c r="Y109" s="543"/>
      <c r="Z109" s="2164"/>
      <c r="AA109" s="543"/>
      <c r="AB109" s="543"/>
    </row>
    <row r="110" spans="1:28">
      <c r="A110" s="948" t="s">
        <v>820</v>
      </c>
      <c r="B110" s="518">
        <v>92</v>
      </c>
      <c r="C110" s="521" t="s">
        <v>1161</v>
      </c>
      <c r="D110" s="521">
        <v>0</v>
      </c>
      <c r="E110" s="478">
        <v>0</v>
      </c>
      <c r="F110" s="478">
        <v>0</v>
      </c>
      <c r="G110" s="478">
        <v>6300</v>
      </c>
      <c r="H110" s="478">
        <v>0</v>
      </c>
      <c r="I110" s="478">
        <v>0</v>
      </c>
      <c r="J110" s="478">
        <v>0</v>
      </c>
      <c r="K110" s="478">
        <v>0</v>
      </c>
      <c r="L110" s="478">
        <v>0</v>
      </c>
      <c r="M110" s="478">
        <v>0</v>
      </c>
      <c r="N110" s="518">
        <v>92</v>
      </c>
      <c r="O110" s="478">
        <v>0</v>
      </c>
      <c r="P110" s="478">
        <f t="shared" ref="P110:P116" si="47">D110+E110+F110+G110+H110+J110+L110+M110+O110</f>
        <v>6300</v>
      </c>
      <c r="Q110" s="622">
        <v>6300</v>
      </c>
      <c r="R110" s="2126">
        <f t="shared" si="39"/>
        <v>1</v>
      </c>
      <c r="S110" s="478">
        <v>0</v>
      </c>
      <c r="T110" s="2126">
        <f t="shared" si="39"/>
        <v>0</v>
      </c>
      <c r="U110" s="478">
        <v>0</v>
      </c>
      <c r="V110" s="2126">
        <f t="shared" ref="V110:V112" si="48">U110/$AA110</f>
        <v>0</v>
      </c>
      <c r="W110" s="478">
        <v>0</v>
      </c>
      <c r="X110" s="2125">
        <f t="shared" ref="X110:X112" si="49">W110/$AA110</f>
        <v>0</v>
      </c>
      <c r="Y110" s="478">
        <v>0</v>
      </c>
      <c r="Z110" s="2125">
        <f t="shared" ref="Z110:Z112" si="50">Y110/$AA110</f>
        <v>0</v>
      </c>
      <c r="AA110" s="478">
        <f t="shared" ref="AA110:AA116" si="51">Q110+S110+U110+W110+Y110</f>
        <v>6300</v>
      </c>
      <c r="AB110" s="478">
        <v>0</v>
      </c>
    </row>
    <row r="111" spans="1:28">
      <c r="A111" s="948"/>
      <c r="B111" s="535">
        <v>93</v>
      </c>
      <c r="C111" s="535" t="s">
        <v>1162</v>
      </c>
      <c r="D111" s="535">
        <v>0</v>
      </c>
      <c r="E111" s="491">
        <v>0</v>
      </c>
      <c r="F111" s="491">
        <v>0</v>
      </c>
      <c r="G111" s="491">
        <v>0</v>
      </c>
      <c r="H111" s="491">
        <v>0</v>
      </c>
      <c r="I111" s="491"/>
      <c r="J111" s="491">
        <v>47769</v>
      </c>
      <c r="K111" s="491">
        <v>1</v>
      </c>
      <c r="L111" s="491">
        <v>0</v>
      </c>
      <c r="M111" s="491">
        <v>0</v>
      </c>
      <c r="N111" s="535">
        <v>93</v>
      </c>
      <c r="O111" s="491">
        <v>0</v>
      </c>
      <c r="P111" s="491">
        <f t="shared" si="47"/>
        <v>47769</v>
      </c>
      <c r="Q111" s="619">
        <v>47769</v>
      </c>
      <c r="R111" s="2132">
        <f t="shared" ref="R111:T120" si="52">Q111/$AA111</f>
        <v>1</v>
      </c>
      <c r="S111" s="491">
        <v>0</v>
      </c>
      <c r="T111" s="2132">
        <f t="shared" si="52"/>
        <v>0</v>
      </c>
      <c r="U111" s="491">
        <v>0</v>
      </c>
      <c r="V111" s="2132">
        <f t="shared" si="48"/>
        <v>0</v>
      </c>
      <c r="W111" s="491">
        <v>0</v>
      </c>
      <c r="X111" s="2131">
        <f t="shared" si="49"/>
        <v>0</v>
      </c>
      <c r="Y111" s="491">
        <v>0</v>
      </c>
      <c r="Z111" s="2131">
        <f t="shared" si="50"/>
        <v>0</v>
      </c>
      <c r="AA111" s="491">
        <f t="shared" si="51"/>
        <v>47769</v>
      </c>
      <c r="AB111" s="491">
        <v>0</v>
      </c>
    </row>
    <row r="112" spans="1:28">
      <c r="A112" s="948"/>
      <c r="B112" s="538">
        <v>94</v>
      </c>
      <c r="C112" s="538" t="s">
        <v>428</v>
      </c>
      <c r="D112" s="538">
        <v>150000</v>
      </c>
      <c r="E112" s="495">
        <v>27000</v>
      </c>
      <c r="F112" s="495">
        <v>90000</v>
      </c>
      <c r="G112" s="495">
        <v>0</v>
      </c>
      <c r="H112" s="495">
        <v>0</v>
      </c>
      <c r="I112" s="495">
        <v>0</v>
      </c>
      <c r="J112" s="495">
        <v>0</v>
      </c>
      <c r="K112" s="495">
        <v>0</v>
      </c>
      <c r="L112" s="495">
        <v>0</v>
      </c>
      <c r="M112" s="495">
        <v>0</v>
      </c>
      <c r="N112" s="538">
        <v>94</v>
      </c>
      <c r="O112" s="495">
        <v>88000</v>
      </c>
      <c r="P112" s="495">
        <f t="shared" si="47"/>
        <v>355000</v>
      </c>
      <c r="Q112" s="626">
        <v>94800</v>
      </c>
      <c r="R112" s="2130">
        <f t="shared" si="52"/>
        <v>0.28744693753790174</v>
      </c>
      <c r="S112" s="488">
        <v>0</v>
      </c>
      <c r="T112" s="2130">
        <f t="shared" si="52"/>
        <v>0</v>
      </c>
      <c r="U112" s="488">
        <v>175000</v>
      </c>
      <c r="V112" s="2130">
        <f t="shared" si="48"/>
        <v>0.53062462098241359</v>
      </c>
      <c r="W112" s="488">
        <v>60000</v>
      </c>
      <c r="X112" s="2129">
        <f t="shared" si="49"/>
        <v>0.18192844147968465</v>
      </c>
      <c r="Y112" s="488">
        <v>0</v>
      </c>
      <c r="Z112" s="2129">
        <f t="shared" si="50"/>
        <v>0</v>
      </c>
      <c r="AA112" s="488">
        <f t="shared" si="51"/>
        <v>329800</v>
      </c>
      <c r="AB112" s="488">
        <v>0</v>
      </c>
    </row>
    <row r="113" spans="1:28">
      <c r="A113" s="948"/>
      <c r="B113" s="517">
        <v>95</v>
      </c>
      <c r="C113" s="538" t="s">
        <v>429</v>
      </c>
      <c r="D113" s="538">
        <v>0</v>
      </c>
      <c r="E113" s="495">
        <v>0</v>
      </c>
      <c r="F113" s="495">
        <v>0</v>
      </c>
      <c r="G113" s="495">
        <v>0</v>
      </c>
      <c r="H113" s="495">
        <v>0</v>
      </c>
      <c r="I113" s="495"/>
      <c r="J113" s="495">
        <v>0</v>
      </c>
      <c r="K113" s="495"/>
      <c r="L113" s="495">
        <v>0</v>
      </c>
      <c r="M113" s="495">
        <v>250312</v>
      </c>
      <c r="N113" s="517">
        <v>95</v>
      </c>
      <c r="O113" s="495">
        <v>0</v>
      </c>
      <c r="P113" s="495">
        <f t="shared" si="47"/>
        <v>250312</v>
      </c>
      <c r="Q113" s="619">
        <v>0</v>
      </c>
      <c r="R113" s="2132">
        <v>0</v>
      </c>
      <c r="S113" s="491">
        <v>0</v>
      </c>
      <c r="T113" s="2132">
        <v>0</v>
      </c>
      <c r="U113" s="491">
        <v>0</v>
      </c>
      <c r="V113" s="2132">
        <v>0</v>
      </c>
      <c r="W113" s="491">
        <v>0</v>
      </c>
      <c r="X113" s="2131">
        <v>0</v>
      </c>
      <c r="Y113" s="491">
        <v>0</v>
      </c>
      <c r="Z113" s="2131">
        <v>0</v>
      </c>
      <c r="AA113" s="491">
        <f t="shared" si="51"/>
        <v>0</v>
      </c>
      <c r="AB113" s="491">
        <v>0</v>
      </c>
    </row>
    <row r="114" spans="1:28">
      <c r="A114" s="948"/>
      <c r="B114" s="539">
        <v>96</v>
      </c>
      <c r="C114" s="554" t="s">
        <v>1163</v>
      </c>
      <c r="D114" s="554">
        <v>0</v>
      </c>
      <c r="E114" s="490">
        <v>0</v>
      </c>
      <c r="F114" s="490">
        <v>13252</v>
      </c>
      <c r="G114" s="490">
        <v>0</v>
      </c>
      <c r="H114" s="490">
        <v>0</v>
      </c>
      <c r="I114" s="490">
        <v>0</v>
      </c>
      <c r="J114" s="490">
        <v>0</v>
      </c>
      <c r="K114" s="490">
        <v>0</v>
      </c>
      <c r="L114" s="490">
        <v>0</v>
      </c>
      <c r="M114" s="490">
        <v>0</v>
      </c>
      <c r="N114" s="539">
        <v>96</v>
      </c>
      <c r="O114" s="490">
        <v>0</v>
      </c>
      <c r="P114" s="490">
        <f t="shared" si="47"/>
        <v>13252</v>
      </c>
      <c r="Q114" s="627">
        <v>0</v>
      </c>
      <c r="R114" s="2122">
        <f t="shared" si="52"/>
        <v>0</v>
      </c>
      <c r="S114" s="467">
        <v>0</v>
      </c>
      <c r="T114" s="2122">
        <f t="shared" si="52"/>
        <v>0</v>
      </c>
      <c r="U114" s="467">
        <v>13252</v>
      </c>
      <c r="V114" s="2122">
        <f t="shared" ref="V114:V117" si="53">U114/$AA114</f>
        <v>1</v>
      </c>
      <c r="W114" s="467">
        <v>0</v>
      </c>
      <c r="X114" s="2121">
        <f t="shared" ref="X114:X117" si="54">W114/$AA114</f>
        <v>0</v>
      </c>
      <c r="Y114" s="467">
        <v>0</v>
      </c>
      <c r="Z114" s="2121">
        <f t="shared" ref="Z114:Z117" si="55">Y114/$AA114</f>
        <v>0</v>
      </c>
      <c r="AA114" s="467">
        <f t="shared" si="51"/>
        <v>13252</v>
      </c>
      <c r="AB114" s="467">
        <v>0</v>
      </c>
    </row>
    <row r="115" spans="1:28">
      <c r="A115" s="948"/>
      <c r="B115" s="535">
        <v>97</v>
      </c>
      <c r="C115" s="535" t="s">
        <v>431</v>
      </c>
      <c r="D115" s="535">
        <v>0</v>
      </c>
      <c r="E115" s="491">
        <v>0</v>
      </c>
      <c r="F115" s="491">
        <v>115747</v>
      </c>
      <c r="G115" s="491">
        <v>20411</v>
      </c>
      <c r="H115" s="491">
        <v>0</v>
      </c>
      <c r="I115" s="491">
        <v>0</v>
      </c>
      <c r="J115" s="491">
        <v>19865</v>
      </c>
      <c r="K115" s="491">
        <v>1</v>
      </c>
      <c r="L115" s="491">
        <v>0</v>
      </c>
      <c r="M115" s="491">
        <v>0</v>
      </c>
      <c r="N115" s="535">
        <v>97</v>
      </c>
      <c r="O115" s="491">
        <v>509939</v>
      </c>
      <c r="P115" s="491">
        <f t="shared" si="47"/>
        <v>665962</v>
      </c>
      <c r="Q115" s="619">
        <v>550215</v>
      </c>
      <c r="R115" s="2132">
        <f t="shared" si="52"/>
        <v>0.82619578894891899</v>
      </c>
      <c r="S115" s="491">
        <v>115747</v>
      </c>
      <c r="T115" s="2132">
        <f t="shared" si="52"/>
        <v>0.17380421105108099</v>
      </c>
      <c r="U115" s="491">
        <v>0</v>
      </c>
      <c r="V115" s="2132">
        <f t="shared" si="53"/>
        <v>0</v>
      </c>
      <c r="W115" s="491">
        <v>0</v>
      </c>
      <c r="X115" s="2131">
        <f t="shared" si="54"/>
        <v>0</v>
      </c>
      <c r="Y115" s="491">
        <v>0</v>
      </c>
      <c r="Z115" s="2131">
        <f t="shared" si="55"/>
        <v>0</v>
      </c>
      <c r="AA115" s="491">
        <f t="shared" si="51"/>
        <v>665962</v>
      </c>
      <c r="AB115" s="491">
        <v>0</v>
      </c>
    </row>
    <row r="116" spans="1:28" ht="13.5" thickBot="1">
      <c r="A116" s="948"/>
      <c r="B116" s="517">
        <v>98</v>
      </c>
      <c r="C116" s="535" t="s">
        <v>1164</v>
      </c>
      <c r="D116" s="535">
        <v>0</v>
      </c>
      <c r="E116" s="491">
        <v>0</v>
      </c>
      <c r="F116" s="491">
        <v>147796</v>
      </c>
      <c r="G116" s="491">
        <v>0</v>
      </c>
      <c r="H116" s="491">
        <v>0</v>
      </c>
      <c r="I116" s="491">
        <v>0</v>
      </c>
      <c r="J116" s="491">
        <v>260805</v>
      </c>
      <c r="K116" s="491">
        <v>6</v>
      </c>
      <c r="L116" s="491">
        <v>0</v>
      </c>
      <c r="M116" s="491">
        <v>4621</v>
      </c>
      <c r="N116" s="517">
        <v>98</v>
      </c>
      <c r="O116" s="491">
        <v>309942</v>
      </c>
      <c r="P116" s="491">
        <f t="shared" si="47"/>
        <v>723164</v>
      </c>
      <c r="Q116" s="620">
        <v>411200</v>
      </c>
      <c r="R116" s="2134">
        <f t="shared" si="52"/>
        <v>0.57226916134455419</v>
      </c>
      <c r="S116" s="495">
        <v>61321</v>
      </c>
      <c r="T116" s="2134">
        <f t="shared" si="52"/>
        <v>8.5340752049633775E-2</v>
      </c>
      <c r="U116" s="495">
        <v>246022</v>
      </c>
      <c r="V116" s="2134">
        <f t="shared" si="53"/>
        <v>0.34239008660581205</v>
      </c>
      <c r="W116" s="495">
        <v>0</v>
      </c>
      <c r="X116" s="2133">
        <f t="shared" si="54"/>
        <v>0</v>
      </c>
      <c r="Y116" s="495">
        <v>0</v>
      </c>
      <c r="Z116" s="2133">
        <f t="shared" si="55"/>
        <v>0</v>
      </c>
      <c r="AA116" s="495">
        <f t="shared" si="51"/>
        <v>718543</v>
      </c>
      <c r="AB116" s="495">
        <v>0</v>
      </c>
    </row>
    <row r="117" spans="1:28" ht="13.5" thickTop="1">
      <c r="A117" s="948"/>
      <c r="B117" s="502"/>
      <c r="C117" s="631" t="s">
        <v>34</v>
      </c>
      <c r="D117" s="632">
        <f>SUM(D110:D116)</f>
        <v>150000</v>
      </c>
      <c r="E117" s="632">
        <f t="shared" ref="E117:M117" si="56">SUM(E110:E116)</f>
        <v>27000</v>
      </c>
      <c r="F117" s="632">
        <f t="shared" si="56"/>
        <v>366795</v>
      </c>
      <c r="G117" s="632">
        <f t="shared" si="56"/>
        <v>26711</v>
      </c>
      <c r="H117" s="632">
        <f t="shared" si="56"/>
        <v>0</v>
      </c>
      <c r="I117" s="632">
        <f t="shared" si="56"/>
        <v>0</v>
      </c>
      <c r="J117" s="632">
        <f t="shared" si="56"/>
        <v>328439</v>
      </c>
      <c r="K117" s="632">
        <f t="shared" si="56"/>
        <v>8</v>
      </c>
      <c r="L117" s="632">
        <f t="shared" si="56"/>
        <v>0</v>
      </c>
      <c r="M117" s="632">
        <f t="shared" si="56"/>
        <v>254933</v>
      </c>
      <c r="N117" s="502"/>
      <c r="O117" s="624">
        <f t="shared" ref="O117:Q117" si="57">SUM(O110:O116)</f>
        <v>907881</v>
      </c>
      <c r="P117" s="632">
        <f t="shared" si="57"/>
        <v>2061759</v>
      </c>
      <c r="Q117" s="632">
        <f t="shared" si="57"/>
        <v>1110284</v>
      </c>
      <c r="R117" s="2167">
        <f t="shared" si="52"/>
        <v>0.62318578646696898</v>
      </c>
      <c r="S117" s="632">
        <f>SUM(S110:S116)</f>
        <v>177068</v>
      </c>
      <c r="T117" s="2167">
        <f t="shared" si="52"/>
        <v>9.9385617407918389E-2</v>
      </c>
      <c r="U117" s="632">
        <f>SUM(U110:U116)</f>
        <v>434274</v>
      </c>
      <c r="V117" s="2167">
        <f t="shared" si="53"/>
        <v>0.2437514944213881</v>
      </c>
      <c r="W117" s="632">
        <f>SUM(W110:W116)</f>
        <v>60000</v>
      </c>
      <c r="X117" s="2167">
        <f t="shared" si="54"/>
        <v>3.3677101703724573E-2</v>
      </c>
      <c r="Y117" s="632">
        <f>SUM(Y110:Y116)</f>
        <v>0</v>
      </c>
      <c r="Z117" s="2167">
        <f t="shared" si="55"/>
        <v>0</v>
      </c>
      <c r="AA117" s="632">
        <f t="shared" ref="AA117:AB117" si="58">SUM(AA110:AA116)</f>
        <v>1781626</v>
      </c>
      <c r="AB117" s="632">
        <f t="shared" si="58"/>
        <v>0</v>
      </c>
    </row>
    <row r="118" spans="1:28">
      <c r="A118" s="949"/>
      <c r="B118" s="509"/>
      <c r="C118" s="633"/>
      <c r="D118" s="634"/>
      <c r="E118" s="543"/>
      <c r="F118" s="543"/>
      <c r="G118" s="543"/>
      <c r="H118" s="543"/>
      <c r="I118" s="543"/>
      <c r="J118" s="543"/>
      <c r="K118" s="543"/>
      <c r="L118" s="543"/>
      <c r="M118" s="543"/>
      <c r="N118" s="509"/>
      <c r="O118" s="543"/>
      <c r="P118" s="543"/>
      <c r="Q118" s="625"/>
      <c r="R118" s="2160"/>
      <c r="S118" s="511"/>
      <c r="T118" s="2160"/>
      <c r="U118" s="543"/>
      <c r="V118" s="2163"/>
      <c r="W118" s="543"/>
      <c r="X118" s="2164"/>
      <c r="Y118" s="543"/>
      <c r="Z118" s="2164"/>
      <c r="AA118" s="543"/>
      <c r="AB118" s="543"/>
    </row>
    <row r="119" spans="1:28">
      <c r="A119" s="951"/>
      <c r="B119" s="567">
        <v>99</v>
      </c>
      <c r="C119" s="568" t="s">
        <v>1166</v>
      </c>
      <c r="D119" s="567">
        <v>0</v>
      </c>
      <c r="E119" s="567">
        <v>0</v>
      </c>
      <c r="F119" s="567">
        <v>0</v>
      </c>
      <c r="G119" s="567">
        <v>0</v>
      </c>
      <c r="H119" s="569">
        <v>1839</v>
      </c>
      <c r="I119" s="569">
        <v>1</v>
      </c>
      <c r="J119" s="569">
        <v>73708.800000000003</v>
      </c>
      <c r="K119" s="569">
        <v>2</v>
      </c>
      <c r="L119" s="569">
        <v>0</v>
      </c>
      <c r="M119" s="569">
        <v>0</v>
      </c>
      <c r="N119" s="567">
        <v>99</v>
      </c>
      <c r="O119" s="569">
        <v>394367</v>
      </c>
      <c r="P119" s="569">
        <f t="shared" ref="P119:P125" si="59">D119+E119+F119+G119+H119+J119+L119+M119+O119</f>
        <v>469914.8</v>
      </c>
      <c r="Q119" s="630">
        <v>346277</v>
      </c>
      <c r="R119" s="2150">
        <f t="shared" ref="R119:T134" si="60">Q119/$AA119</f>
        <v>1</v>
      </c>
      <c r="S119" s="569">
        <v>0</v>
      </c>
      <c r="T119" s="2150">
        <f t="shared" ref="T119:T126" si="61">S119/$AA119</f>
        <v>0</v>
      </c>
      <c r="U119" s="569">
        <v>0</v>
      </c>
      <c r="V119" s="2150">
        <f t="shared" ref="V119:V126" si="62">U119/$AA119</f>
        <v>0</v>
      </c>
      <c r="W119" s="569">
        <v>0</v>
      </c>
      <c r="X119" s="2149">
        <f t="shared" ref="X119:X126" si="63">W119/$AA119</f>
        <v>0</v>
      </c>
      <c r="Y119" s="569">
        <v>0</v>
      </c>
      <c r="Z119" s="2149">
        <f t="shared" ref="Z119:Z126" si="64">Y119/$AA119</f>
        <v>0</v>
      </c>
      <c r="AA119" s="569">
        <f t="shared" ref="AA119:AA125" si="65">Q119+S119+U119+W119+Y119</f>
        <v>346277</v>
      </c>
      <c r="AB119" s="569">
        <v>0</v>
      </c>
    </row>
    <row r="120" spans="1:28">
      <c r="A120" s="951"/>
      <c r="B120" s="517">
        <v>100</v>
      </c>
      <c r="C120" s="568" t="s">
        <v>1167</v>
      </c>
      <c r="D120" s="567">
        <v>0</v>
      </c>
      <c r="E120" s="567">
        <v>0</v>
      </c>
      <c r="F120" s="567">
        <v>0</v>
      </c>
      <c r="G120" s="567">
        <v>0</v>
      </c>
      <c r="H120" s="569">
        <v>0</v>
      </c>
      <c r="I120" s="569"/>
      <c r="J120" s="569">
        <v>0</v>
      </c>
      <c r="K120" s="569"/>
      <c r="L120" s="569">
        <v>0</v>
      </c>
      <c r="M120" s="569">
        <v>0</v>
      </c>
      <c r="N120" s="517">
        <v>100</v>
      </c>
      <c r="O120" s="569">
        <v>10223</v>
      </c>
      <c r="P120" s="569">
        <f t="shared" si="59"/>
        <v>10223</v>
      </c>
      <c r="Q120" s="630">
        <v>9957</v>
      </c>
      <c r="R120" s="2150">
        <f t="shared" si="60"/>
        <v>1</v>
      </c>
      <c r="S120" s="569">
        <v>0</v>
      </c>
      <c r="T120" s="2150">
        <f t="shared" si="61"/>
        <v>0</v>
      </c>
      <c r="U120" s="569">
        <v>0</v>
      </c>
      <c r="V120" s="2150">
        <f t="shared" si="62"/>
        <v>0</v>
      </c>
      <c r="W120" s="569">
        <v>0</v>
      </c>
      <c r="X120" s="2149">
        <f t="shared" si="63"/>
        <v>0</v>
      </c>
      <c r="Y120" s="569">
        <v>0</v>
      </c>
      <c r="Z120" s="2149">
        <f t="shared" si="64"/>
        <v>0</v>
      </c>
      <c r="AA120" s="569">
        <f t="shared" si="65"/>
        <v>9957</v>
      </c>
      <c r="AB120" s="569">
        <v>0</v>
      </c>
    </row>
    <row r="121" spans="1:28">
      <c r="A121" s="951"/>
      <c r="B121" s="567">
        <v>101</v>
      </c>
      <c r="C121" s="518" t="s">
        <v>1168</v>
      </c>
      <c r="D121" s="518">
        <v>0</v>
      </c>
      <c r="E121" s="518">
        <v>0</v>
      </c>
      <c r="F121" s="518">
        <v>19200</v>
      </c>
      <c r="G121" s="518">
        <v>0</v>
      </c>
      <c r="H121" s="472">
        <v>0</v>
      </c>
      <c r="I121" s="472"/>
      <c r="J121" s="472">
        <v>0</v>
      </c>
      <c r="K121" s="472"/>
      <c r="L121" s="472">
        <v>0</v>
      </c>
      <c r="M121" s="472">
        <v>0</v>
      </c>
      <c r="N121" s="567">
        <v>101</v>
      </c>
      <c r="O121" s="472">
        <v>0</v>
      </c>
      <c r="P121" s="472">
        <f t="shared" si="59"/>
        <v>19200</v>
      </c>
      <c r="Q121" s="623">
        <v>16320</v>
      </c>
      <c r="R121" s="2136">
        <f t="shared" si="60"/>
        <v>1</v>
      </c>
      <c r="S121" s="472">
        <v>0</v>
      </c>
      <c r="T121" s="2136">
        <f t="shared" si="61"/>
        <v>0</v>
      </c>
      <c r="U121" s="472">
        <v>0</v>
      </c>
      <c r="V121" s="2136">
        <f t="shared" si="62"/>
        <v>0</v>
      </c>
      <c r="W121" s="472">
        <v>0</v>
      </c>
      <c r="X121" s="2135">
        <f t="shared" si="63"/>
        <v>0</v>
      </c>
      <c r="Y121" s="472">
        <v>0</v>
      </c>
      <c r="Z121" s="2135">
        <f t="shared" si="64"/>
        <v>0</v>
      </c>
      <c r="AA121" s="472">
        <f t="shared" si="65"/>
        <v>16320</v>
      </c>
      <c r="AB121" s="472">
        <v>0</v>
      </c>
    </row>
    <row r="122" spans="1:28">
      <c r="A122" s="951"/>
      <c r="B122" s="521">
        <v>102</v>
      </c>
      <c r="C122" s="521" t="s">
        <v>1169</v>
      </c>
      <c r="D122" s="521">
        <v>0</v>
      </c>
      <c r="E122" s="521">
        <v>0</v>
      </c>
      <c r="F122" s="521">
        <v>0</v>
      </c>
      <c r="G122" s="521">
        <v>13750</v>
      </c>
      <c r="H122" s="478">
        <v>0</v>
      </c>
      <c r="I122" s="478"/>
      <c r="J122" s="478">
        <v>0</v>
      </c>
      <c r="K122" s="478"/>
      <c r="L122" s="478">
        <v>0</v>
      </c>
      <c r="M122" s="478">
        <v>0</v>
      </c>
      <c r="N122" s="521">
        <v>102</v>
      </c>
      <c r="O122" s="478">
        <v>0</v>
      </c>
      <c r="P122" s="478">
        <f t="shared" si="59"/>
        <v>13750</v>
      </c>
      <c r="Q122" s="622">
        <v>0</v>
      </c>
      <c r="R122" s="2126">
        <f t="shared" si="60"/>
        <v>0</v>
      </c>
      <c r="S122" s="478">
        <v>10150</v>
      </c>
      <c r="T122" s="2126">
        <f t="shared" si="61"/>
        <v>1</v>
      </c>
      <c r="U122" s="478">
        <v>0</v>
      </c>
      <c r="V122" s="2126">
        <f t="shared" si="62"/>
        <v>0</v>
      </c>
      <c r="W122" s="478">
        <v>0</v>
      </c>
      <c r="X122" s="2125">
        <f t="shared" si="63"/>
        <v>0</v>
      </c>
      <c r="Y122" s="478">
        <v>0</v>
      </c>
      <c r="Z122" s="2125">
        <f t="shared" si="64"/>
        <v>0</v>
      </c>
      <c r="AA122" s="478">
        <f t="shared" si="65"/>
        <v>10150</v>
      </c>
      <c r="AB122" s="478">
        <v>0</v>
      </c>
    </row>
    <row r="123" spans="1:28">
      <c r="A123" s="951"/>
      <c r="B123" s="573">
        <v>103</v>
      </c>
      <c r="C123" s="535" t="s">
        <v>1170</v>
      </c>
      <c r="D123" s="535">
        <v>0</v>
      </c>
      <c r="E123" s="535">
        <v>0</v>
      </c>
      <c r="F123" s="535">
        <v>0</v>
      </c>
      <c r="G123" s="535">
        <v>0</v>
      </c>
      <c r="H123" s="491">
        <v>0</v>
      </c>
      <c r="I123" s="491">
        <v>0</v>
      </c>
      <c r="J123" s="491">
        <v>0</v>
      </c>
      <c r="K123" s="491">
        <v>0</v>
      </c>
      <c r="L123" s="491">
        <v>0</v>
      </c>
      <c r="M123" s="491">
        <v>0</v>
      </c>
      <c r="N123" s="573">
        <v>103</v>
      </c>
      <c r="O123" s="491">
        <v>27145</v>
      </c>
      <c r="P123" s="491">
        <f t="shared" si="59"/>
        <v>27145</v>
      </c>
      <c r="Q123" s="619">
        <v>27145</v>
      </c>
      <c r="R123" s="2132">
        <f t="shared" si="60"/>
        <v>1</v>
      </c>
      <c r="S123" s="491">
        <v>0</v>
      </c>
      <c r="T123" s="2132">
        <f t="shared" si="61"/>
        <v>0</v>
      </c>
      <c r="U123" s="491">
        <v>0</v>
      </c>
      <c r="V123" s="2132">
        <f t="shared" si="62"/>
        <v>0</v>
      </c>
      <c r="W123" s="491">
        <v>0</v>
      </c>
      <c r="X123" s="2131">
        <f t="shared" si="63"/>
        <v>0</v>
      </c>
      <c r="Y123" s="491">
        <v>0</v>
      </c>
      <c r="Z123" s="2131">
        <f t="shared" si="64"/>
        <v>0</v>
      </c>
      <c r="AA123" s="491">
        <f t="shared" si="65"/>
        <v>27145</v>
      </c>
      <c r="AB123" s="491">
        <v>0</v>
      </c>
    </row>
    <row r="124" spans="1:28">
      <c r="A124" s="951"/>
      <c r="B124" s="517">
        <v>104</v>
      </c>
      <c r="C124" s="517" t="s">
        <v>1172</v>
      </c>
      <c r="D124" s="517">
        <v>0</v>
      </c>
      <c r="E124" s="517">
        <v>0</v>
      </c>
      <c r="F124" s="517">
        <v>0</v>
      </c>
      <c r="G124" s="517">
        <v>0</v>
      </c>
      <c r="H124" s="482">
        <v>6500</v>
      </c>
      <c r="I124" s="482">
        <v>1</v>
      </c>
      <c r="J124" s="482">
        <v>96203</v>
      </c>
      <c r="K124" s="482">
        <v>1</v>
      </c>
      <c r="L124" s="482">
        <v>0</v>
      </c>
      <c r="M124" s="482">
        <v>0</v>
      </c>
      <c r="N124" s="517">
        <v>104</v>
      </c>
      <c r="O124" s="482">
        <v>294362</v>
      </c>
      <c r="P124" s="482">
        <f t="shared" si="59"/>
        <v>397065</v>
      </c>
      <c r="Q124" s="621">
        <v>263145</v>
      </c>
      <c r="R124" s="2128">
        <f t="shared" si="60"/>
        <v>0.95472108843537418</v>
      </c>
      <c r="S124" s="482">
        <v>0</v>
      </c>
      <c r="T124" s="2128">
        <f t="shared" si="61"/>
        <v>0</v>
      </c>
      <c r="U124" s="482">
        <v>12000</v>
      </c>
      <c r="V124" s="2128">
        <f t="shared" si="62"/>
        <v>4.3537414965986392E-2</v>
      </c>
      <c r="W124" s="482">
        <v>480</v>
      </c>
      <c r="X124" s="2127">
        <f t="shared" si="63"/>
        <v>1.7414965986394559E-3</v>
      </c>
      <c r="Y124" s="482">
        <v>0</v>
      </c>
      <c r="Z124" s="2127">
        <f t="shared" si="64"/>
        <v>0</v>
      </c>
      <c r="AA124" s="482">
        <f t="shared" si="65"/>
        <v>275625</v>
      </c>
      <c r="AB124" s="482">
        <v>0</v>
      </c>
    </row>
    <row r="125" spans="1:28" ht="13.5" thickBot="1">
      <c r="A125" s="951"/>
      <c r="B125" s="567">
        <v>105</v>
      </c>
      <c r="C125" s="518" t="s">
        <v>1173</v>
      </c>
      <c r="D125" s="518">
        <v>0</v>
      </c>
      <c r="E125" s="518">
        <v>0</v>
      </c>
      <c r="F125" s="518">
        <v>0</v>
      </c>
      <c r="G125" s="518">
        <v>0</v>
      </c>
      <c r="H125" s="472">
        <v>0</v>
      </c>
      <c r="I125" s="472">
        <v>0</v>
      </c>
      <c r="J125" s="472">
        <v>0</v>
      </c>
      <c r="K125" s="472">
        <v>0</v>
      </c>
      <c r="L125" s="472">
        <v>0</v>
      </c>
      <c r="M125" s="472">
        <v>0</v>
      </c>
      <c r="N125" s="567">
        <v>105</v>
      </c>
      <c r="O125" s="472">
        <v>6492</v>
      </c>
      <c r="P125" s="472">
        <f t="shared" si="59"/>
        <v>6492</v>
      </c>
      <c r="Q125" s="623">
        <v>3060</v>
      </c>
      <c r="R125" s="2136">
        <f t="shared" si="60"/>
        <v>1</v>
      </c>
      <c r="S125" s="472">
        <v>0</v>
      </c>
      <c r="T125" s="2136">
        <f t="shared" si="61"/>
        <v>0</v>
      </c>
      <c r="U125" s="472">
        <v>0</v>
      </c>
      <c r="V125" s="2136">
        <f t="shared" si="62"/>
        <v>0</v>
      </c>
      <c r="W125" s="472">
        <v>0</v>
      </c>
      <c r="X125" s="2135">
        <f t="shared" si="63"/>
        <v>0</v>
      </c>
      <c r="Y125" s="472">
        <v>0</v>
      </c>
      <c r="Z125" s="2135">
        <f t="shared" si="64"/>
        <v>0</v>
      </c>
      <c r="AA125" s="472">
        <f t="shared" si="65"/>
        <v>3060</v>
      </c>
      <c r="AB125" s="472">
        <v>0</v>
      </c>
    </row>
    <row r="126" spans="1:28" ht="13.5" thickTop="1">
      <c r="A126" s="951"/>
      <c r="B126" s="502"/>
      <c r="C126" s="536" t="s">
        <v>34</v>
      </c>
      <c r="D126" s="624">
        <f t="shared" ref="D126:M126" si="66">SUM(D119:D125)</f>
        <v>0</v>
      </c>
      <c r="E126" s="624">
        <f t="shared" si="66"/>
        <v>0</v>
      </c>
      <c r="F126" s="624">
        <f t="shared" si="66"/>
        <v>19200</v>
      </c>
      <c r="G126" s="624">
        <f t="shared" si="66"/>
        <v>13750</v>
      </c>
      <c r="H126" s="624">
        <f t="shared" si="66"/>
        <v>8339</v>
      </c>
      <c r="I126" s="624">
        <f t="shared" si="66"/>
        <v>2</v>
      </c>
      <c r="J126" s="624">
        <f t="shared" si="66"/>
        <v>169911.8</v>
      </c>
      <c r="K126" s="624">
        <f t="shared" si="66"/>
        <v>3</v>
      </c>
      <c r="L126" s="624">
        <f t="shared" si="66"/>
        <v>0</v>
      </c>
      <c r="M126" s="624">
        <f t="shared" si="66"/>
        <v>0</v>
      </c>
      <c r="N126" s="502"/>
      <c r="O126" s="624">
        <f>SUM(O119:O125)</f>
        <v>732589</v>
      </c>
      <c r="P126" s="624">
        <f>SUM(P119:P125)</f>
        <v>943789.8</v>
      </c>
      <c r="Q126" s="624">
        <f>SUM(Q119:Q125)</f>
        <v>665904</v>
      </c>
      <c r="R126" s="2159">
        <f t="shared" si="60"/>
        <v>0.9671330682290199</v>
      </c>
      <c r="S126" s="624">
        <f>SUM(S119:S125)</f>
        <v>10150</v>
      </c>
      <c r="T126" s="2159">
        <f t="shared" si="61"/>
        <v>1.4741465199975601E-2</v>
      </c>
      <c r="U126" s="624">
        <f>SUM(U119:U125)</f>
        <v>12000</v>
      </c>
      <c r="V126" s="2159">
        <f t="shared" si="62"/>
        <v>1.7428333241350465E-2</v>
      </c>
      <c r="W126" s="624">
        <f>SUM(W119:W125)</f>
        <v>480</v>
      </c>
      <c r="X126" s="2159">
        <f t="shared" si="63"/>
        <v>6.9713332965401855E-4</v>
      </c>
      <c r="Y126" s="624">
        <f>SUM(Y119:Y125)</f>
        <v>0</v>
      </c>
      <c r="Z126" s="2159">
        <f t="shared" si="64"/>
        <v>0</v>
      </c>
      <c r="AA126" s="624">
        <f>SUM(AA119:AA125)</f>
        <v>688534</v>
      </c>
      <c r="AB126" s="624">
        <f>SUM(AB119:AB125)</f>
        <v>0</v>
      </c>
    </row>
    <row r="127" spans="1:28">
      <c r="A127" s="952"/>
      <c r="B127" s="509"/>
      <c r="C127" s="537"/>
      <c r="D127" s="543"/>
      <c r="E127" s="543"/>
      <c r="F127" s="543"/>
      <c r="G127" s="543"/>
      <c r="H127" s="543"/>
      <c r="I127" s="543"/>
      <c r="J127" s="543"/>
      <c r="K127" s="543"/>
      <c r="L127" s="543"/>
      <c r="M127" s="543"/>
      <c r="N127" s="509"/>
      <c r="O127" s="543"/>
      <c r="P127" s="543"/>
      <c r="Q127" s="625"/>
      <c r="R127" s="2160"/>
      <c r="S127" s="511"/>
      <c r="T127" s="2160"/>
      <c r="U127" s="543"/>
      <c r="V127" s="2163"/>
      <c r="W127" s="543"/>
      <c r="X127" s="2164"/>
      <c r="Y127" s="543"/>
      <c r="Z127" s="2164"/>
      <c r="AA127" s="543"/>
      <c r="AB127" s="543"/>
    </row>
    <row r="128" spans="1:28">
      <c r="A128" s="947" t="s">
        <v>1174</v>
      </c>
      <c r="B128" s="517">
        <v>106</v>
      </c>
      <c r="C128" s="517" t="s">
        <v>1175</v>
      </c>
      <c r="D128" s="517">
        <v>0</v>
      </c>
      <c r="E128" s="517">
        <v>0</v>
      </c>
      <c r="F128" s="517">
        <v>0</v>
      </c>
      <c r="G128" s="517">
        <v>0</v>
      </c>
      <c r="H128" s="482">
        <v>0</v>
      </c>
      <c r="I128" s="482">
        <v>0</v>
      </c>
      <c r="J128" s="482">
        <v>31200</v>
      </c>
      <c r="K128" s="482">
        <v>1</v>
      </c>
      <c r="L128" s="482">
        <v>0</v>
      </c>
      <c r="M128" s="482">
        <v>0</v>
      </c>
      <c r="N128" s="517">
        <v>106</v>
      </c>
      <c r="O128" s="482">
        <v>0</v>
      </c>
      <c r="P128" s="482">
        <f t="shared" ref="P128:P135" si="67">D128+E128+F128+G128+H128+J128+L128+M128+O128</f>
        <v>31200</v>
      </c>
      <c r="Q128" s="621">
        <v>31200</v>
      </c>
      <c r="R128" s="2128">
        <f t="shared" si="60"/>
        <v>1</v>
      </c>
      <c r="S128" s="482">
        <v>0</v>
      </c>
      <c r="T128" s="2128">
        <f t="shared" si="60"/>
        <v>0</v>
      </c>
      <c r="U128" s="482">
        <v>0</v>
      </c>
      <c r="V128" s="2128">
        <f t="shared" ref="V128:V136" si="68">U128/$AA128</f>
        <v>0</v>
      </c>
      <c r="W128" s="482">
        <v>0</v>
      </c>
      <c r="X128" s="2127">
        <f t="shared" ref="X128:X136" si="69">W128/$AA128</f>
        <v>0</v>
      </c>
      <c r="Y128" s="482">
        <v>0</v>
      </c>
      <c r="Z128" s="2127">
        <f t="shared" ref="Z128:Z136" si="70">Y128/$AA128</f>
        <v>0</v>
      </c>
      <c r="AA128" s="482">
        <f t="shared" ref="AA128:AA135" si="71">Q128+S128+U128+W128+Y128</f>
        <v>31200</v>
      </c>
      <c r="AB128" s="482">
        <v>0</v>
      </c>
    </row>
    <row r="129" spans="1:28">
      <c r="A129" s="948"/>
      <c r="B129" s="586">
        <v>107</v>
      </c>
      <c r="C129" s="635" t="s">
        <v>1176</v>
      </c>
      <c r="D129" s="586">
        <v>0</v>
      </c>
      <c r="E129" s="586">
        <v>0</v>
      </c>
      <c r="F129" s="586">
        <v>0</v>
      </c>
      <c r="G129" s="586">
        <v>75006</v>
      </c>
      <c r="H129" s="587">
        <v>0</v>
      </c>
      <c r="I129" s="587">
        <v>0</v>
      </c>
      <c r="J129" s="587">
        <v>0</v>
      </c>
      <c r="K129" s="587">
        <v>0</v>
      </c>
      <c r="L129" s="587">
        <v>0</v>
      </c>
      <c r="M129" s="587">
        <v>0</v>
      </c>
      <c r="N129" s="586">
        <v>107</v>
      </c>
      <c r="O129" s="587">
        <v>0</v>
      </c>
      <c r="P129" s="587">
        <f t="shared" si="67"/>
        <v>75006</v>
      </c>
      <c r="Q129" s="636">
        <v>75006</v>
      </c>
      <c r="R129" s="2168">
        <f t="shared" si="60"/>
        <v>1</v>
      </c>
      <c r="S129" s="587">
        <v>0</v>
      </c>
      <c r="T129" s="2168">
        <f t="shared" si="60"/>
        <v>0</v>
      </c>
      <c r="U129" s="587">
        <v>0</v>
      </c>
      <c r="V129" s="2168">
        <f t="shared" si="68"/>
        <v>0</v>
      </c>
      <c r="W129" s="587">
        <v>0</v>
      </c>
      <c r="X129" s="2169">
        <f t="shared" si="69"/>
        <v>0</v>
      </c>
      <c r="Y129" s="587">
        <v>0</v>
      </c>
      <c r="Z129" s="2169">
        <f t="shared" si="70"/>
        <v>0</v>
      </c>
      <c r="AA129" s="587">
        <f t="shared" si="71"/>
        <v>75006</v>
      </c>
      <c r="AB129" s="587">
        <v>0</v>
      </c>
    </row>
    <row r="130" spans="1:28">
      <c r="A130" s="948"/>
      <c r="B130" s="521">
        <v>108</v>
      </c>
      <c r="C130" s="635" t="s">
        <v>1177</v>
      </c>
      <c r="D130" s="586">
        <v>0</v>
      </c>
      <c r="E130" s="586">
        <v>0</v>
      </c>
      <c r="F130" s="586">
        <v>263176</v>
      </c>
      <c r="G130" s="586">
        <v>0</v>
      </c>
      <c r="H130" s="587">
        <v>0</v>
      </c>
      <c r="I130" s="587">
        <v>0</v>
      </c>
      <c r="J130" s="587">
        <v>4070</v>
      </c>
      <c r="K130" s="587">
        <v>1</v>
      </c>
      <c r="L130" s="587">
        <v>0</v>
      </c>
      <c r="M130" s="587">
        <v>0</v>
      </c>
      <c r="N130" s="521">
        <v>108</v>
      </c>
      <c r="O130" s="587">
        <v>25185</v>
      </c>
      <c r="P130" s="587">
        <f t="shared" si="67"/>
        <v>292431</v>
      </c>
      <c r="Q130" s="636">
        <v>0</v>
      </c>
      <c r="R130" s="2168">
        <f t="shared" si="60"/>
        <v>0</v>
      </c>
      <c r="S130" s="587">
        <v>137422</v>
      </c>
      <c r="T130" s="2168">
        <f t="shared" si="60"/>
        <v>1</v>
      </c>
      <c r="U130" s="587">
        <v>0</v>
      </c>
      <c r="V130" s="2168">
        <f t="shared" si="68"/>
        <v>0</v>
      </c>
      <c r="W130" s="587">
        <v>0</v>
      </c>
      <c r="X130" s="2169">
        <f t="shared" si="69"/>
        <v>0</v>
      </c>
      <c r="Y130" s="587">
        <v>0</v>
      </c>
      <c r="Z130" s="2169">
        <f t="shared" si="70"/>
        <v>0</v>
      </c>
      <c r="AA130" s="587">
        <f t="shared" si="71"/>
        <v>137422</v>
      </c>
      <c r="AB130" s="587">
        <v>0</v>
      </c>
    </row>
    <row r="131" spans="1:28">
      <c r="A131" s="948"/>
      <c r="B131" s="586">
        <v>109</v>
      </c>
      <c r="C131" s="521" t="s">
        <v>1216</v>
      </c>
      <c r="D131" s="521">
        <v>0</v>
      </c>
      <c r="E131" s="521">
        <v>0</v>
      </c>
      <c r="F131" s="521">
        <v>0</v>
      </c>
      <c r="G131" s="521">
        <v>0</v>
      </c>
      <c r="H131" s="478">
        <v>0</v>
      </c>
      <c r="I131" s="478">
        <v>0</v>
      </c>
      <c r="J131" s="478">
        <v>0</v>
      </c>
      <c r="K131" s="478">
        <v>0</v>
      </c>
      <c r="L131" s="478">
        <v>0</v>
      </c>
      <c r="M131" s="478">
        <v>0</v>
      </c>
      <c r="N131" s="586">
        <v>109</v>
      </c>
      <c r="O131" s="478">
        <v>23000</v>
      </c>
      <c r="P131" s="478">
        <f t="shared" si="67"/>
        <v>23000</v>
      </c>
      <c r="Q131" s="622">
        <v>23000</v>
      </c>
      <c r="R131" s="2126">
        <f t="shared" si="60"/>
        <v>1</v>
      </c>
      <c r="S131" s="478">
        <v>0</v>
      </c>
      <c r="T131" s="2126">
        <f t="shared" si="60"/>
        <v>0</v>
      </c>
      <c r="U131" s="478">
        <v>0</v>
      </c>
      <c r="V131" s="2126">
        <f t="shared" si="68"/>
        <v>0</v>
      </c>
      <c r="W131" s="478">
        <v>0</v>
      </c>
      <c r="X131" s="2125">
        <f t="shared" si="69"/>
        <v>0</v>
      </c>
      <c r="Y131" s="478">
        <v>0</v>
      </c>
      <c r="Z131" s="2125">
        <f t="shared" si="70"/>
        <v>0</v>
      </c>
      <c r="AA131" s="478">
        <f t="shared" si="71"/>
        <v>23000</v>
      </c>
      <c r="AB131" s="478">
        <v>0</v>
      </c>
    </row>
    <row r="132" spans="1:28">
      <c r="A132" s="948"/>
      <c r="B132" s="521">
        <v>110</v>
      </c>
      <c r="C132" s="521" t="s">
        <v>1179</v>
      </c>
      <c r="D132" s="521">
        <v>0</v>
      </c>
      <c r="E132" s="521">
        <v>0</v>
      </c>
      <c r="F132" s="521">
        <v>0</v>
      </c>
      <c r="G132" s="521">
        <v>11000</v>
      </c>
      <c r="H132" s="478">
        <v>0</v>
      </c>
      <c r="I132" s="478">
        <v>0</v>
      </c>
      <c r="J132" s="478">
        <v>0</v>
      </c>
      <c r="K132" s="478">
        <v>0</v>
      </c>
      <c r="L132" s="478">
        <v>0</v>
      </c>
      <c r="M132" s="478">
        <v>0</v>
      </c>
      <c r="N132" s="521">
        <v>110</v>
      </c>
      <c r="O132" s="478">
        <v>0</v>
      </c>
      <c r="P132" s="478">
        <f t="shared" si="67"/>
        <v>11000</v>
      </c>
      <c r="Q132" s="622">
        <v>11000</v>
      </c>
      <c r="R132" s="2126">
        <f t="shared" si="60"/>
        <v>1</v>
      </c>
      <c r="S132" s="478">
        <v>0</v>
      </c>
      <c r="T132" s="2126">
        <f t="shared" si="60"/>
        <v>0</v>
      </c>
      <c r="U132" s="478">
        <v>0</v>
      </c>
      <c r="V132" s="2126">
        <f t="shared" si="68"/>
        <v>0</v>
      </c>
      <c r="W132" s="478">
        <v>0</v>
      </c>
      <c r="X132" s="2125">
        <f t="shared" si="69"/>
        <v>0</v>
      </c>
      <c r="Y132" s="478">
        <v>0</v>
      </c>
      <c r="Z132" s="2125">
        <f t="shared" si="70"/>
        <v>0</v>
      </c>
      <c r="AA132" s="478">
        <f t="shared" si="71"/>
        <v>11000</v>
      </c>
      <c r="AB132" s="478">
        <v>0</v>
      </c>
    </row>
    <row r="133" spans="1:28">
      <c r="A133" s="948"/>
      <c r="B133" s="591">
        <v>111</v>
      </c>
      <c r="C133" s="517" t="s">
        <v>1181</v>
      </c>
      <c r="D133" s="517">
        <v>0</v>
      </c>
      <c r="E133" s="517">
        <v>0</v>
      </c>
      <c r="F133" s="517">
        <v>0</v>
      </c>
      <c r="G133" s="517">
        <v>0</v>
      </c>
      <c r="H133" s="482">
        <v>0</v>
      </c>
      <c r="I133" s="482">
        <v>0</v>
      </c>
      <c r="J133" s="482">
        <v>56611</v>
      </c>
      <c r="K133" s="482">
        <v>1</v>
      </c>
      <c r="L133" s="482">
        <v>0</v>
      </c>
      <c r="M133" s="482">
        <v>0</v>
      </c>
      <c r="N133" s="591">
        <v>111</v>
      </c>
      <c r="O133" s="482">
        <v>0</v>
      </c>
      <c r="P133" s="482">
        <f t="shared" si="67"/>
        <v>56611</v>
      </c>
      <c r="Q133" s="621">
        <v>9681</v>
      </c>
      <c r="R133" s="2128">
        <f t="shared" si="60"/>
        <v>1</v>
      </c>
      <c r="S133" s="482">
        <v>0</v>
      </c>
      <c r="T133" s="2128">
        <f t="shared" si="60"/>
        <v>0</v>
      </c>
      <c r="U133" s="482">
        <v>0</v>
      </c>
      <c r="V133" s="2128">
        <f t="shared" si="68"/>
        <v>0</v>
      </c>
      <c r="W133" s="482">
        <v>0</v>
      </c>
      <c r="X133" s="2127">
        <f t="shared" si="69"/>
        <v>0</v>
      </c>
      <c r="Y133" s="482">
        <v>0</v>
      </c>
      <c r="Z133" s="2127">
        <f t="shared" si="70"/>
        <v>0</v>
      </c>
      <c r="AA133" s="482">
        <f t="shared" si="71"/>
        <v>9681</v>
      </c>
      <c r="AB133" s="482">
        <v>0</v>
      </c>
    </row>
    <row r="134" spans="1:28">
      <c r="A134" s="948"/>
      <c r="B134" s="521">
        <v>112</v>
      </c>
      <c r="C134" s="521" t="s">
        <v>1182</v>
      </c>
      <c r="D134" s="521">
        <v>0</v>
      </c>
      <c r="E134" s="521">
        <v>0</v>
      </c>
      <c r="F134" s="521">
        <v>1600</v>
      </c>
      <c r="G134" s="521">
        <v>0</v>
      </c>
      <c r="H134" s="478">
        <v>0</v>
      </c>
      <c r="I134" s="478">
        <v>0</v>
      </c>
      <c r="J134" s="478">
        <v>85685</v>
      </c>
      <c r="K134" s="486">
        <v>1</v>
      </c>
      <c r="L134" s="486">
        <v>0</v>
      </c>
      <c r="M134" s="478">
        <v>0</v>
      </c>
      <c r="N134" s="521">
        <v>112</v>
      </c>
      <c r="O134" s="478">
        <v>40567</v>
      </c>
      <c r="P134" s="478">
        <f t="shared" si="67"/>
        <v>127852</v>
      </c>
      <c r="Q134" s="622">
        <v>99041</v>
      </c>
      <c r="R134" s="2126">
        <f t="shared" si="60"/>
        <v>0.99647855439627331</v>
      </c>
      <c r="S134" s="478">
        <v>350</v>
      </c>
      <c r="T134" s="2126">
        <f t="shared" si="60"/>
        <v>3.5214456037266956E-3</v>
      </c>
      <c r="U134" s="478">
        <v>0</v>
      </c>
      <c r="V134" s="2126">
        <f t="shared" si="68"/>
        <v>0</v>
      </c>
      <c r="W134" s="478">
        <v>0</v>
      </c>
      <c r="X134" s="2125">
        <f t="shared" si="69"/>
        <v>0</v>
      </c>
      <c r="Y134" s="478">
        <v>0</v>
      </c>
      <c r="Z134" s="2125">
        <f t="shared" si="70"/>
        <v>0</v>
      </c>
      <c r="AA134" s="478">
        <f t="shared" si="71"/>
        <v>99391</v>
      </c>
      <c r="AB134" s="478">
        <v>0</v>
      </c>
    </row>
    <row r="135" spans="1:28" ht="13.5" thickBot="1">
      <c r="A135" s="948"/>
      <c r="B135" s="517">
        <v>113</v>
      </c>
      <c r="C135" s="517" t="s">
        <v>453</v>
      </c>
      <c r="D135" s="517">
        <v>0</v>
      </c>
      <c r="E135" s="517">
        <v>0</v>
      </c>
      <c r="F135" s="517">
        <v>420672</v>
      </c>
      <c r="G135" s="517">
        <v>0</v>
      </c>
      <c r="H135" s="482">
        <v>0</v>
      </c>
      <c r="I135" s="482">
        <v>0</v>
      </c>
      <c r="J135" s="482">
        <v>0</v>
      </c>
      <c r="K135" s="482">
        <v>0</v>
      </c>
      <c r="L135" s="482">
        <v>0</v>
      </c>
      <c r="M135" s="482">
        <v>0</v>
      </c>
      <c r="N135" s="517">
        <v>113</v>
      </c>
      <c r="O135" s="482">
        <v>56534</v>
      </c>
      <c r="P135" s="482">
        <f t="shared" si="67"/>
        <v>477206</v>
      </c>
      <c r="Q135" s="621">
        <v>26618</v>
      </c>
      <c r="R135" s="2128">
        <f t="shared" ref="R135:T145" si="72">Q135/$AA135</f>
        <v>6.0803340551702716E-2</v>
      </c>
      <c r="S135" s="482">
        <v>0</v>
      </c>
      <c r="T135" s="2128">
        <f t="shared" si="72"/>
        <v>0</v>
      </c>
      <c r="U135" s="482">
        <v>411154</v>
      </c>
      <c r="V135" s="2128">
        <f t="shared" si="68"/>
        <v>0.93919665944829733</v>
      </c>
      <c r="W135" s="482">
        <v>0</v>
      </c>
      <c r="X135" s="2127">
        <f t="shared" si="69"/>
        <v>0</v>
      </c>
      <c r="Y135" s="482">
        <v>0</v>
      </c>
      <c r="Z135" s="2127">
        <f t="shared" si="70"/>
        <v>0</v>
      </c>
      <c r="AA135" s="482">
        <f t="shared" si="71"/>
        <v>437772</v>
      </c>
      <c r="AB135" s="482">
        <v>0</v>
      </c>
    </row>
    <row r="136" spans="1:28" ht="13.5" thickTop="1">
      <c r="A136" s="948"/>
      <c r="B136" s="502"/>
      <c r="C136" s="536" t="s">
        <v>34</v>
      </c>
      <c r="D136" s="624">
        <f t="shared" ref="D136:M136" si="73">SUM(D128:D135)</f>
        <v>0</v>
      </c>
      <c r="E136" s="624">
        <f t="shared" si="73"/>
        <v>0</v>
      </c>
      <c r="F136" s="624">
        <f t="shared" si="73"/>
        <v>685448</v>
      </c>
      <c r="G136" s="624">
        <f t="shared" si="73"/>
        <v>86006</v>
      </c>
      <c r="H136" s="624">
        <f t="shared" si="73"/>
        <v>0</v>
      </c>
      <c r="I136" s="624">
        <f t="shared" si="73"/>
        <v>0</v>
      </c>
      <c r="J136" s="624">
        <f t="shared" si="73"/>
        <v>177566</v>
      </c>
      <c r="K136" s="624">
        <f t="shared" si="73"/>
        <v>4</v>
      </c>
      <c r="L136" s="624">
        <f t="shared" si="73"/>
        <v>0</v>
      </c>
      <c r="M136" s="624">
        <f t="shared" si="73"/>
        <v>0</v>
      </c>
      <c r="N136" s="502"/>
      <c r="O136" s="624">
        <f>SUM(O128:O135)</f>
        <v>145286</v>
      </c>
      <c r="P136" s="624">
        <f>SUM(P128:P135)</f>
        <v>1094306</v>
      </c>
      <c r="Q136" s="624">
        <f>SUM(Q128:Q135)</f>
        <v>275546</v>
      </c>
      <c r="R136" s="2159">
        <f t="shared" si="72"/>
        <v>0.33420904530414619</v>
      </c>
      <c r="S136" s="624">
        <f>SUM(S128:S135)</f>
        <v>137772</v>
      </c>
      <c r="T136" s="2159">
        <f t="shared" si="72"/>
        <v>0.16710330975460658</v>
      </c>
      <c r="U136" s="624">
        <f>SUM(U128:U135)</f>
        <v>411154</v>
      </c>
      <c r="V136" s="2159">
        <f t="shared" si="68"/>
        <v>0.49868764494124723</v>
      </c>
      <c r="W136" s="624">
        <f>SUM(W128:W135)</f>
        <v>0</v>
      </c>
      <c r="X136" s="2159">
        <f t="shared" si="69"/>
        <v>0</v>
      </c>
      <c r="Y136" s="624">
        <f>SUM(Y128:Y135)</f>
        <v>0</v>
      </c>
      <c r="Z136" s="2159">
        <f t="shared" si="70"/>
        <v>0</v>
      </c>
      <c r="AA136" s="624">
        <f>SUM(AA128:AA135)</f>
        <v>824472</v>
      </c>
      <c r="AB136" s="624">
        <f>SUM(AB128:AB135)</f>
        <v>0</v>
      </c>
    </row>
    <row r="137" spans="1:28">
      <c r="A137" s="949"/>
      <c r="B137" s="509"/>
      <c r="C137" s="537"/>
      <c r="D137" s="543"/>
      <c r="E137" s="543"/>
      <c r="F137" s="543"/>
      <c r="G137" s="543"/>
      <c r="H137" s="543"/>
      <c r="I137" s="543"/>
      <c r="J137" s="543"/>
      <c r="K137" s="543"/>
      <c r="L137" s="543"/>
      <c r="M137" s="2170"/>
      <c r="N137" s="509"/>
      <c r="O137" s="2170"/>
      <c r="P137" s="2170"/>
      <c r="Q137" s="625"/>
      <c r="R137" s="2160"/>
      <c r="S137" s="511"/>
      <c r="T137" s="2160"/>
      <c r="U137" s="543"/>
      <c r="V137" s="2163"/>
      <c r="W137" s="543"/>
      <c r="X137" s="2164"/>
      <c r="Y137" s="543"/>
      <c r="Z137" s="2164"/>
      <c r="AA137" s="543"/>
      <c r="AB137" s="543"/>
    </row>
    <row r="138" spans="1:28">
      <c r="A138" s="947" t="s">
        <v>1217</v>
      </c>
      <c r="B138" s="535">
        <v>114</v>
      </c>
      <c r="C138" s="535" t="s">
        <v>1184</v>
      </c>
      <c r="D138" s="535">
        <v>0</v>
      </c>
      <c r="E138" s="535">
        <v>0</v>
      </c>
      <c r="F138" s="535">
        <v>0</v>
      </c>
      <c r="G138" s="535">
        <v>0</v>
      </c>
      <c r="H138" s="491">
        <v>0</v>
      </c>
      <c r="I138" s="491">
        <v>0</v>
      </c>
      <c r="J138" s="491">
        <v>179331</v>
      </c>
      <c r="K138" s="637">
        <v>4</v>
      </c>
      <c r="L138" s="637">
        <v>0</v>
      </c>
      <c r="M138" s="637">
        <v>0</v>
      </c>
      <c r="N138" s="535">
        <v>114</v>
      </c>
      <c r="O138" s="637">
        <v>0</v>
      </c>
      <c r="P138" s="637">
        <f t="shared" ref="P138:P148" si="74">D138+E138+F138+G138+H138+J138+L138+M138+O138</f>
        <v>179331</v>
      </c>
      <c r="Q138" s="619">
        <v>179331</v>
      </c>
      <c r="R138" s="2132">
        <f t="shared" ref="R138:Z151" si="75">Q138/$AA138</f>
        <v>1</v>
      </c>
      <c r="S138" s="491">
        <v>0</v>
      </c>
      <c r="T138" s="2132">
        <f t="shared" ref="T138:T149" si="76">S138/$AA138</f>
        <v>0</v>
      </c>
      <c r="U138" s="491">
        <v>0</v>
      </c>
      <c r="V138" s="2132">
        <f t="shared" ref="V138:V149" si="77">U138/$AA138</f>
        <v>0</v>
      </c>
      <c r="W138" s="491">
        <v>0</v>
      </c>
      <c r="X138" s="2131">
        <f t="shared" ref="X138:X149" si="78">W138/$AA138</f>
        <v>0</v>
      </c>
      <c r="Y138" s="491">
        <v>0</v>
      </c>
      <c r="Z138" s="2131">
        <f t="shared" ref="Z138:Z149" si="79">Y138/$AA138</f>
        <v>0</v>
      </c>
      <c r="AA138" s="491">
        <f t="shared" ref="AA138:AA148" si="80">Q138+S138+U138+W138+Y138</f>
        <v>179331</v>
      </c>
      <c r="AB138" s="491">
        <v>0</v>
      </c>
    </row>
    <row r="139" spans="1:28">
      <c r="A139" s="948"/>
      <c r="B139" s="539">
        <v>115</v>
      </c>
      <c r="C139" s="638" t="s">
        <v>1149</v>
      </c>
      <c r="D139" s="591">
        <v>0</v>
      </c>
      <c r="E139" s="591">
        <v>0</v>
      </c>
      <c r="F139" s="591">
        <v>470051</v>
      </c>
      <c r="G139" s="591">
        <v>0</v>
      </c>
      <c r="H139" s="592">
        <v>0</v>
      </c>
      <c r="I139" s="592">
        <v>0</v>
      </c>
      <c r="J139" s="592">
        <v>16602</v>
      </c>
      <c r="K139" s="592">
        <v>1</v>
      </c>
      <c r="L139" s="592">
        <v>0</v>
      </c>
      <c r="M139" s="592">
        <v>0</v>
      </c>
      <c r="N139" s="539">
        <v>115</v>
      </c>
      <c r="O139" s="592">
        <v>0</v>
      </c>
      <c r="P139" s="592">
        <f t="shared" si="74"/>
        <v>486653</v>
      </c>
      <c r="Q139" s="629">
        <v>214623</v>
      </c>
      <c r="R139" s="2165">
        <f t="shared" si="75"/>
        <v>0.83942036921151442</v>
      </c>
      <c r="S139" s="592">
        <v>0</v>
      </c>
      <c r="T139" s="2165">
        <f t="shared" si="76"/>
        <v>0</v>
      </c>
      <c r="U139" s="592">
        <v>41057</v>
      </c>
      <c r="V139" s="2165">
        <f t="shared" si="77"/>
        <v>0.16057963078848561</v>
      </c>
      <c r="W139" s="592">
        <v>0</v>
      </c>
      <c r="X139" s="2166">
        <f t="shared" si="78"/>
        <v>0</v>
      </c>
      <c r="Y139" s="592">
        <v>0</v>
      </c>
      <c r="Z139" s="2166">
        <f t="shared" si="79"/>
        <v>0</v>
      </c>
      <c r="AA139" s="592">
        <f t="shared" si="80"/>
        <v>255680</v>
      </c>
      <c r="AB139" s="592">
        <v>0</v>
      </c>
    </row>
    <row r="140" spans="1:28">
      <c r="A140" s="948"/>
      <c r="B140" s="518">
        <v>116</v>
      </c>
      <c r="C140" s="568" t="s">
        <v>1185</v>
      </c>
      <c r="D140" s="567">
        <v>0</v>
      </c>
      <c r="E140" s="567">
        <v>0</v>
      </c>
      <c r="F140" s="567">
        <v>49070</v>
      </c>
      <c r="G140" s="567">
        <v>0</v>
      </c>
      <c r="H140" s="569">
        <v>0</v>
      </c>
      <c r="I140" s="569">
        <v>0</v>
      </c>
      <c r="J140" s="569">
        <v>0</v>
      </c>
      <c r="K140" s="569">
        <v>0</v>
      </c>
      <c r="L140" s="569">
        <v>0</v>
      </c>
      <c r="M140" s="569">
        <v>0</v>
      </c>
      <c r="N140" s="518">
        <v>116</v>
      </c>
      <c r="O140" s="569">
        <v>0</v>
      </c>
      <c r="P140" s="569">
        <f t="shared" si="74"/>
        <v>49070</v>
      </c>
      <c r="Q140" s="630">
        <v>49070</v>
      </c>
      <c r="R140" s="2150">
        <f t="shared" si="75"/>
        <v>1</v>
      </c>
      <c r="S140" s="569">
        <v>0</v>
      </c>
      <c r="T140" s="2150">
        <f t="shared" si="76"/>
        <v>0</v>
      </c>
      <c r="U140" s="569">
        <v>0</v>
      </c>
      <c r="V140" s="2150">
        <f t="shared" si="77"/>
        <v>0</v>
      </c>
      <c r="W140" s="569">
        <v>0</v>
      </c>
      <c r="X140" s="2149">
        <f t="shared" si="78"/>
        <v>0</v>
      </c>
      <c r="Y140" s="569">
        <v>0</v>
      </c>
      <c r="Z140" s="2149">
        <f t="shared" si="79"/>
        <v>0</v>
      </c>
      <c r="AA140" s="569">
        <f t="shared" si="80"/>
        <v>49070</v>
      </c>
      <c r="AB140" s="569">
        <v>0</v>
      </c>
    </row>
    <row r="141" spans="1:28">
      <c r="A141" s="948"/>
      <c r="B141" s="521">
        <v>117</v>
      </c>
      <c r="C141" s="521" t="s">
        <v>1186</v>
      </c>
      <c r="D141" s="521">
        <v>0</v>
      </c>
      <c r="E141" s="521">
        <v>0</v>
      </c>
      <c r="F141" s="521">
        <v>0</v>
      </c>
      <c r="G141" s="521">
        <v>0</v>
      </c>
      <c r="H141" s="478">
        <v>0</v>
      </c>
      <c r="I141" s="478">
        <v>0</v>
      </c>
      <c r="J141" s="478">
        <v>0</v>
      </c>
      <c r="K141" s="478">
        <v>0</v>
      </c>
      <c r="L141" s="478">
        <v>0</v>
      </c>
      <c r="M141" s="478">
        <v>0</v>
      </c>
      <c r="N141" s="521">
        <v>117</v>
      </c>
      <c r="O141" s="478">
        <v>200000</v>
      </c>
      <c r="P141" s="478">
        <f t="shared" si="74"/>
        <v>200000</v>
      </c>
      <c r="Q141" s="622">
        <v>200000</v>
      </c>
      <c r="R141" s="2126">
        <f t="shared" si="75"/>
        <v>1</v>
      </c>
      <c r="S141" s="478">
        <v>0</v>
      </c>
      <c r="T141" s="2126">
        <f t="shared" si="76"/>
        <v>0</v>
      </c>
      <c r="U141" s="478">
        <v>0</v>
      </c>
      <c r="V141" s="2126">
        <f t="shared" si="77"/>
        <v>0</v>
      </c>
      <c r="W141" s="478">
        <v>0</v>
      </c>
      <c r="X141" s="2125">
        <f t="shared" si="78"/>
        <v>0</v>
      </c>
      <c r="Y141" s="478">
        <v>0</v>
      </c>
      <c r="Z141" s="2125">
        <f t="shared" si="79"/>
        <v>0</v>
      </c>
      <c r="AA141" s="478">
        <f t="shared" si="80"/>
        <v>200000</v>
      </c>
      <c r="AB141" s="478">
        <v>0</v>
      </c>
    </row>
    <row r="142" spans="1:28">
      <c r="A142" s="948"/>
      <c r="B142" s="517">
        <v>118</v>
      </c>
      <c r="C142" s="517" t="s">
        <v>1187</v>
      </c>
      <c r="D142" s="517">
        <v>0</v>
      </c>
      <c r="E142" s="517">
        <v>0</v>
      </c>
      <c r="F142" s="517">
        <v>0</v>
      </c>
      <c r="G142" s="517">
        <v>0</v>
      </c>
      <c r="H142" s="482">
        <v>0</v>
      </c>
      <c r="I142" s="482">
        <v>0</v>
      </c>
      <c r="J142" s="482">
        <v>32282</v>
      </c>
      <c r="K142" s="482">
        <v>2</v>
      </c>
      <c r="L142" s="482">
        <v>0</v>
      </c>
      <c r="M142" s="482">
        <v>0</v>
      </c>
      <c r="N142" s="517">
        <v>118</v>
      </c>
      <c r="O142" s="482">
        <v>0</v>
      </c>
      <c r="P142" s="482">
        <f t="shared" si="74"/>
        <v>32282</v>
      </c>
      <c r="Q142" s="621">
        <v>32282</v>
      </c>
      <c r="R142" s="2128">
        <f t="shared" si="75"/>
        <v>1</v>
      </c>
      <c r="S142" s="482">
        <v>0</v>
      </c>
      <c r="T142" s="2128">
        <f t="shared" si="76"/>
        <v>0</v>
      </c>
      <c r="U142" s="482">
        <v>0</v>
      </c>
      <c r="V142" s="2128">
        <f t="shared" si="77"/>
        <v>0</v>
      </c>
      <c r="W142" s="482">
        <v>0</v>
      </c>
      <c r="X142" s="2127">
        <f t="shared" si="78"/>
        <v>0</v>
      </c>
      <c r="Y142" s="482">
        <v>0</v>
      </c>
      <c r="Z142" s="2127">
        <f t="shared" si="79"/>
        <v>0</v>
      </c>
      <c r="AA142" s="482">
        <f t="shared" si="80"/>
        <v>32282</v>
      </c>
      <c r="AB142" s="482">
        <v>0</v>
      </c>
    </row>
    <row r="143" spans="1:28">
      <c r="A143" s="948"/>
      <c r="B143" s="521">
        <v>119</v>
      </c>
      <c r="C143" s="521" t="s">
        <v>1188</v>
      </c>
      <c r="D143" s="521">
        <v>0</v>
      </c>
      <c r="E143" s="521">
        <v>0</v>
      </c>
      <c r="F143" s="521">
        <v>0</v>
      </c>
      <c r="G143" s="521">
        <v>0</v>
      </c>
      <c r="H143" s="478">
        <v>0</v>
      </c>
      <c r="I143" s="478">
        <v>0</v>
      </c>
      <c r="J143" s="478">
        <v>10385</v>
      </c>
      <c r="K143" s="478">
        <v>2</v>
      </c>
      <c r="L143" s="478">
        <v>0</v>
      </c>
      <c r="M143" s="478">
        <v>0</v>
      </c>
      <c r="N143" s="521">
        <v>119</v>
      </c>
      <c r="O143" s="478">
        <v>0</v>
      </c>
      <c r="P143" s="478">
        <f t="shared" si="74"/>
        <v>10385</v>
      </c>
      <c r="Q143" s="622">
        <v>10385</v>
      </c>
      <c r="R143" s="2126">
        <f t="shared" si="75"/>
        <v>1</v>
      </c>
      <c r="S143" s="478">
        <v>0</v>
      </c>
      <c r="T143" s="2126">
        <f t="shared" si="76"/>
        <v>0</v>
      </c>
      <c r="U143" s="478">
        <v>0</v>
      </c>
      <c r="V143" s="2126">
        <f t="shared" si="77"/>
        <v>0</v>
      </c>
      <c r="W143" s="478">
        <v>0</v>
      </c>
      <c r="X143" s="2125">
        <f t="shared" si="78"/>
        <v>0</v>
      </c>
      <c r="Y143" s="478">
        <v>0</v>
      </c>
      <c r="Z143" s="2125">
        <f t="shared" si="79"/>
        <v>0</v>
      </c>
      <c r="AA143" s="478">
        <f t="shared" si="80"/>
        <v>10385</v>
      </c>
      <c r="AB143" s="478">
        <v>0</v>
      </c>
    </row>
    <row r="144" spans="1:28">
      <c r="A144" s="948"/>
      <c r="B144" s="517">
        <v>120</v>
      </c>
      <c r="C144" s="517" t="s">
        <v>1189</v>
      </c>
      <c r="D144" s="517">
        <v>0</v>
      </c>
      <c r="E144" s="517">
        <v>0</v>
      </c>
      <c r="F144" s="517">
        <v>0</v>
      </c>
      <c r="G144" s="517">
        <v>0</v>
      </c>
      <c r="H144" s="482">
        <v>0</v>
      </c>
      <c r="I144" s="482"/>
      <c r="J144" s="482">
        <v>0</v>
      </c>
      <c r="K144" s="482"/>
      <c r="L144" s="482">
        <v>0</v>
      </c>
      <c r="M144" s="482">
        <v>0</v>
      </c>
      <c r="N144" s="517">
        <v>120</v>
      </c>
      <c r="O144" s="482">
        <v>24543</v>
      </c>
      <c r="P144" s="482">
        <f t="shared" si="74"/>
        <v>24543</v>
      </c>
      <c r="Q144" s="621">
        <v>24543</v>
      </c>
      <c r="R144" s="2128">
        <f t="shared" si="75"/>
        <v>1</v>
      </c>
      <c r="S144" s="482">
        <v>0</v>
      </c>
      <c r="T144" s="2128">
        <f t="shared" si="76"/>
        <v>0</v>
      </c>
      <c r="U144" s="482">
        <v>0</v>
      </c>
      <c r="V144" s="2128">
        <f t="shared" si="77"/>
        <v>0</v>
      </c>
      <c r="W144" s="482">
        <v>0</v>
      </c>
      <c r="X144" s="2127">
        <f t="shared" si="78"/>
        <v>0</v>
      </c>
      <c r="Y144" s="482">
        <v>0</v>
      </c>
      <c r="Z144" s="2127">
        <f t="shared" si="79"/>
        <v>0</v>
      </c>
      <c r="AA144" s="482">
        <f t="shared" si="80"/>
        <v>24543</v>
      </c>
      <c r="AB144" s="482">
        <v>0</v>
      </c>
    </row>
    <row r="145" spans="1:28">
      <c r="A145" s="948"/>
      <c r="B145" s="518">
        <v>121</v>
      </c>
      <c r="C145" s="517" t="s">
        <v>1190</v>
      </c>
      <c r="D145" s="517">
        <v>0</v>
      </c>
      <c r="E145" s="517">
        <v>0</v>
      </c>
      <c r="F145" s="517">
        <v>0</v>
      </c>
      <c r="G145" s="517">
        <v>0</v>
      </c>
      <c r="H145" s="482">
        <v>0</v>
      </c>
      <c r="I145" s="482">
        <v>0</v>
      </c>
      <c r="J145" s="482">
        <v>31988</v>
      </c>
      <c r="K145" s="482">
        <v>1</v>
      </c>
      <c r="L145" s="482">
        <v>0</v>
      </c>
      <c r="M145" s="482">
        <v>0</v>
      </c>
      <c r="N145" s="518">
        <v>121</v>
      </c>
      <c r="O145" s="482">
        <v>34887</v>
      </c>
      <c r="P145" s="482">
        <f t="shared" si="74"/>
        <v>66875</v>
      </c>
      <c r="Q145" s="621">
        <v>66875</v>
      </c>
      <c r="R145" s="2128">
        <f t="shared" si="75"/>
        <v>1</v>
      </c>
      <c r="S145" s="482">
        <v>0</v>
      </c>
      <c r="T145" s="2128">
        <f t="shared" si="76"/>
        <v>0</v>
      </c>
      <c r="U145" s="482">
        <v>0</v>
      </c>
      <c r="V145" s="2128">
        <f t="shared" si="77"/>
        <v>0</v>
      </c>
      <c r="W145" s="482">
        <v>0</v>
      </c>
      <c r="X145" s="2127">
        <f t="shared" si="78"/>
        <v>0</v>
      </c>
      <c r="Y145" s="482">
        <v>0</v>
      </c>
      <c r="Z145" s="2127">
        <f t="shared" si="79"/>
        <v>0</v>
      </c>
      <c r="AA145" s="482">
        <f t="shared" si="80"/>
        <v>66875</v>
      </c>
      <c r="AB145" s="482">
        <v>0</v>
      </c>
    </row>
    <row r="146" spans="1:28">
      <c r="A146" s="948"/>
      <c r="B146" s="518">
        <v>122</v>
      </c>
      <c r="C146" s="518" t="s">
        <v>1191</v>
      </c>
      <c r="D146" s="518">
        <v>0</v>
      </c>
      <c r="E146" s="518">
        <v>0</v>
      </c>
      <c r="F146" s="518">
        <v>0</v>
      </c>
      <c r="G146" s="518">
        <v>0</v>
      </c>
      <c r="H146" s="472">
        <v>0</v>
      </c>
      <c r="I146" s="472">
        <v>0</v>
      </c>
      <c r="J146" s="472">
        <v>0</v>
      </c>
      <c r="K146" s="472">
        <v>0</v>
      </c>
      <c r="L146" s="472">
        <v>0</v>
      </c>
      <c r="M146" s="472">
        <v>0</v>
      </c>
      <c r="N146" s="518">
        <v>122</v>
      </c>
      <c r="O146" s="472">
        <v>8056</v>
      </c>
      <c r="P146" s="472">
        <f t="shared" si="74"/>
        <v>8056</v>
      </c>
      <c r="Q146" s="623">
        <v>8056</v>
      </c>
      <c r="R146" s="2136">
        <f t="shared" si="75"/>
        <v>1</v>
      </c>
      <c r="S146" s="472">
        <v>0</v>
      </c>
      <c r="T146" s="2136">
        <f t="shared" si="76"/>
        <v>0</v>
      </c>
      <c r="U146" s="472">
        <v>0</v>
      </c>
      <c r="V146" s="2136">
        <f t="shared" si="77"/>
        <v>0</v>
      </c>
      <c r="W146" s="472">
        <v>0</v>
      </c>
      <c r="X146" s="2135">
        <f t="shared" si="78"/>
        <v>0</v>
      </c>
      <c r="Y146" s="472">
        <v>0</v>
      </c>
      <c r="Z146" s="2135">
        <f t="shared" si="79"/>
        <v>0</v>
      </c>
      <c r="AA146" s="472">
        <f t="shared" si="80"/>
        <v>8056</v>
      </c>
      <c r="AB146" s="472">
        <v>0</v>
      </c>
    </row>
    <row r="147" spans="1:28">
      <c r="A147" s="948"/>
      <c r="B147" s="521">
        <v>123</v>
      </c>
      <c r="C147" s="521" t="s">
        <v>1192</v>
      </c>
      <c r="D147" s="521">
        <v>0</v>
      </c>
      <c r="E147" s="521">
        <v>0</v>
      </c>
      <c r="F147" s="521">
        <v>0</v>
      </c>
      <c r="G147" s="521">
        <v>0</v>
      </c>
      <c r="H147" s="478">
        <v>0</v>
      </c>
      <c r="I147" s="478">
        <v>0</v>
      </c>
      <c r="J147" s="478">
        <v>0</v>
      </c>
      <c r="K147" s="478">
        <v>0</v>
      </c>
      <c r="L147" s="478">
        <v>0</v>
      </c>
      <c r="M147" s="478">
        <v>0</v>
      </c>
      <c r="N147" s="521">
        <v>123</v>
      </c>
      <c r="O147" s="478">
        <v>6075</v>
      </c>
      <c r="P147" s="478">
        <f t="shared" si="74"/>
        <v>6075</v>
      </c>
      <c r="Q147" s="622">
        <v>6075</v>
      </c>
      <c r="R147" s="2126">
        <f t="shared" si="75"/>
        <v>1</v>
      </c>
      <c r="S147" s="478">
        <v>0</v>
      </c>
      <c r="T147" s="2126">
        <f t="shared" si="76"/>
        <v>0</v>
      </c>
      <c r="U147" s="478">
        <v>0</v>
      </c>
      <c r="V147" s="2126">
        <f t="shared" si="77"/>
        <v>0</v>
      </c>
      <c r="W147" s="478">
        <v>0</v>
      </c>
      <c r="X147" s="2125">
        <f t="shared" si="78"/>
        <v>0</v>
      </c>
      <c r="Y147" s="478">
        <v>0</v>
      </c>
      <c r="Z147" s="2125">
        <f t="shared" si="79"/>
        <v>0</v>
      </c>
      <c r="AA147" s="478">
        <f t="shared" si="80"/>
        <v>6075</v>
      </c>
      <c r="AB147" s="478">
        <v>0</v>
      </c>
    </row>
    <row r="148" spans="1:28" ht="13.5" thickBot="1">
      <c r="A148" s="948"/>
      <c r="B148" s="517">
        <v>124</v>
      </c>
      <c r="C148" s="517" t="s">
        <v>1194</v>
      </c>
      <c r="D148" s="517">
        <v>0</v>
      </c>
      <c r="E148" s="517">
        <v>0</v>
      </c>
      <c r="F148" s="517">
        <v>0</v>
      </c>
      <c r="G148" s="517">
        <v>0</v>
      </c>
      <c r="H148" s="482">
        <v>0</v>
      </c>
      <c r="I148" s="482">
        <v>0</v>
      </c>
      <c r="J148" s="482">
        <v>61309</v>
      </c>
      <c r="K148" s="482">
        <v>9</v>
      </c>
      <c r="L148" s="482">
        <v>0</v>
      </c>
      <c r="M148" s="482">
        <v>0</v>
      </c>
      <c r="N148" s="517">
        <v>124</v>
      </c>
      <c r="O148" s="482">
        <v>107401</v>
      </c>
      <c r="P148" s="482">
        <f t="shared" si="74"/>
        <v>168710</v>
      </c>
      <c r="Q148" s="621">
        <v>168710</v>
      </c>
      <c r="R148" s="2128">
        <f t="shared" si="75"/>
        <v>1</v>
      </c>
      <c r="S148" s="482">
        <v>0</v>
      </c>
      <c r="T148" s="2128">
        <f t="shared" si="76"/>
        <v>0</v>
      </c>
      <c r="U148" s="482">
        <v>0</v>
      </c>
      <c r="V148" s="2128">
        <f t="shared" si="77"/>
        <v>0</v>
      </c>
      <c r="W148" s="482">
        <v>0</v>
      </c>
      <c r="X148" s="2127">
        <f t="shared" si="78"/>
        <v>0</v>
      </c>
      <c r="Y148" s="482">
        <v>0</v>
      </c>
      <c r="Z148" s="2127">
        <f t="shared" si="79"/>
        <v>0</v>
      </c>
      <c r="AA148" s="482">
        <f t="shared" si="80"/>
        <v>168710</v>
      </c>
      <c r="AB148" s="482">
        <v>0</v>
      </c>
    </row>
    <row r="149" spans="1:28" ht="13.5" thickTop="1">
      <c r="A149" s="948"/>
      <c r="B149" s="502"/>
      <c r="C149" s="536" t="s">
        <v>34</v>
      </c>
      <c r="D149" s="624">
        <f>SUM(D138:D148)</f>
        <v>0</v>
      </c>
      <c r="E149" s="624">
        <f t="shared" ref="E149:M149" si="81">SUM(E138:E148)</f>
        <v>0</v>
      </c>
      <c r="F149" s="624">
        <f t="shared" si="81"/>
        <v>519121</v>
      </c>
      <c r="G149" s="624">
        <f t="shared" si="81"/>
        <v>0</v>
      </c>
      <c r="H149" s="624">
        <f t="shared" si="81"/>
        <v>0</v>
      </c>
      <c r="I149" s="624">
        <f t="shared" si="81"/>
        <v>0</v>
      </c>
      <c r="J149" s="624">
        <f t="shared" si="81"/>
        <v>331897</v>
      </c>
      <c r="K149" s="624">
        <f t="shared" si="81"/>
        <v>19</v>
      </c>
      <c r="L149" s="624">
        <f t="shared" si="81"/>
        <v>0</v>
      </c>
      <c r="M149" s="624">
        <f t="shared" si="81"/>
        <v>0</v>
      </c>
      <c r="N149" s="624"/>
      <c r="O149" s="624">
        <f t="shared" ref="O149:Q149" si="82">SUM(O138:O148)</f>
        <v>380962</v>
      </c>
      <c r="P149" s="624">
        <f t="shared" si="82"/>
        <v>1231980</v>
      </c>
      <c r="Q149" s="624">
        <f t="shared" si="82"/>
        <v>959950</v>
      </c>
      <c r="R149" s="2159">
        <f t="shared" si="75"/>
        <v>0.95898430280707325</v>
      </c>
      <c r="S149" s="624">
        <f>SUM(S138:S148)</f>
        <v>0</v>
      </c>
      <c r="T149" s="2159">
        <f t="shared" si="76"/>
        <v>0</v>
      </c>
      <c r="U149" s="624">
        <f>SUM(U138:U148)</f>
        <v>41057</v>
      </c>
      <c r="V149" s="2159">
        <f t="shared" si="77"/>
        <v>4.101569719292672E-2</v>
      </c>
      <c r="W149" s="624">
        <f>SUM(W138:W148)</f>
        <v>0</v>
      </c>
      <c r="X149" s="2159">
        <f t="shared" si="78"/>
        <v>0</v>
      </c>
      <c r="Y149" s="624">
        <f>SUM(Y138:Y148)</f>
        <v>0</v>
      </c>
      <c r="Z149" s="2159">
        <f t="shared" si="79"/>
        <v>0</v>
      </c>
      <c r="AA149" s="624">
        <f>SUM(AA138:AA148)</f>
        <v>1001007</v>
      </c>
      <c r="AB149" s="624">
        <f>SUM(AB138:AB148)</f>
        <v>0</v>
      </c>
    </row>
    <row r="150" spans="1:28">
      <c r="A150" s="620"/>
      <c r="B150" s="509"/>
      <c r="C150" s="601"/>
      <c r="D150" s="511"/>
      <c r="E150" s="511"/>
      <c r="F150" s="511"/>
      <c r="G150" s="511"/>
      <c r="H150" s="511"/>
      <c r="I150" s="511"/>
      <c r="J150" s="511"/>
      <c r="K150" s="511"/>
      <c r="L150" s="511"/>
      <c r="M150" s="515"/>
      <c r="N150" s="514"/>
      <c r="O150" s="511"/>
      <c r="P150" s="515"/>
      <c r="Q150" s="512"/>
      <c r="R150" s="2160"/>
      <c r="S150" s="511"/>
      <c r="T150" s="2160"/>
      <c r="U150" s="511"/>
      <c r="V150" s="2160"/>
      <c r="W150" s="511"/>
      <c r="X150" s="2161"/>
      <c r="Y150" s="511"/>
      <c r="Z150" s="2161"/>
      <c r="AA150" s="511"/>
      <c r="AB150" s="511"/>
    </row>
    <row r="151" spans="1:28">
      <c r="A151" s="603" t="s">
        <v>774</v>
      </c>
      <c r="B151" s="604"/>
      <c r="C151" s="605" t="s">
        <v>34</v>
      </c>
      <c r="D151" s="608">
        <f t="shared" ref="D151:M151" si="83">D32+D37+D53+D75+D87+D108+D117+D126+D136+D149</f>
        <v>150000</v>
      </c>
      <c r="E151" s="608">
        <f t="shared" si="83"/>
        <v>191200</v>
      </c>
      <c r="F151" s="608">
        <f t="shared" si="83"/>
        <v>8039121.2999999998</v>
      </c>
      <c r="G151" s="608">
        <f t="shared" si="83"/>
        <v>4152057</v>
      </c>
      <c r="H151" s="608">
        <f t="shared" si="83"/>
        <v>98919</v>
      </c>
      <c r="I151" s="608">
        <f t="shared" si="83"/>
        <v>7</v>
      </c>
      <c r="J151" s="608">
        <f t="shared" si="83"/>
        <v>2800040.8</v>
      </c>
      <c r="K151" s="608">
        <f t="shared" si="83"/>
        <v>82</v>
      </c>
      <c r="L151" s="608">
        <f t="shared" si="83"/>
        <v>10150</v>
      </c>
      <c r="M151" s="608">
        <f t="shared" si="83"/>
        <v>261452</v>
      </c>
      <c r="N151" s="608"/>
      <c r="O151" s="608">
        <f>O32+O37+O53+O75+O87+O108+O117+O126+O136+O149</f>
        <v>8471957</v>
      </c>
      <c r="P151" s="608">
        <f>P32+P37+P53+P75+P87+P108+P117+P126+P136+P149</f>
        <v>24174897.100000001</v>
      </c>
      <c r="Q151" s="608">
        <f>Q32+Q37+Q53+Q75+Q87+Q108+Q117+Q126+Q136+Q149</f>
        <v>12695431</v>
      </c>
      <c r="R151" s="2156">
        <f t="shared" si="75"/>
        <v>0.60689445117625318</v>
      </c>
      <c r="S151" s="608">
        <f>S32+S37+S53+S75+S87+S108+S117+S126+S136+S149</f>
        <v>1305195</v>
      </c>
      <c r="T151" s="2156">
        <f t="shared" si="75"/>
        <v>6.2393754351702579E-2</v>
      </c>
      <c r="U151" s="608">
        <f>U32+U37+U53+U75+U87+U108+U117+U126+U136+U149</f>
        <v>4574170.3</v>
      </c>
      <c r="V151" s="2156">
        <f t="shared" si="75"/>
        <v>0.21866438199736718</v>
      </c>
      <c r="W151" s="608">
        <f>W32+W37+W53+W75+W87+W108+W117+W126+W136+W149</f>
        <v>1627956</v>
      </c>
      <c r="X151" s="2156">
        <f t="shared" si="75"/>
        <v>7.7823073762449541E-2</v>
      </c>
      <c r="Y151" s="608">
        <f>Y32+Y37+Y53+Y75+Y87+Y108+Y117+Y126+Y136+Y149</f>
        <v>715928</v>
      </c>
      <c r="Z151" s="2156">
        <f t="shared" si="75"/>
        <v>3.4224338712227464E-2</v>
      </c>
      <c r="AA151" s="608">
        <f>AA32+AA37+AA53+AA75+AA87+AA108+AA117+AA126+AA136+AA149</f>
        <v>20918680.300000001</v>
      </c>
      <c r="AB151" s="608">
        <f>AB32+AB37+AB53+AB75+AB87+AB108+AB117+AB126+AB136+AB149</f>
        <v>279225</v>
      </c>
    </row>
    <row r="156" spans="1:28">
      <c r="K156" s="639"/>
    </row>
    <row r="159" spans="1:28">
      <c r="K159" s="461"/>
    </row>
  </sheetData>
  <mergeCells count="29">
    <mergeCell ref="A138:A149"/>
    <mergeCell ref="A55:A76"/>
    <mergeCell ref="A77:A88"/>
    <mergeCell ref="A89:A109"/>
    <mergeCell ref="A110:A118"/>
    <mergeCell ref="A119:A127"/>
    <mergeCell ref="A128:A137"/>
    <mergeCell ref="W5:X5"/>
    <mergeCell ref="Y5:Z5"/>
    <mergeCell ref="AB5:AB6"/>
    <mergeCell ref="A7:A33"/>
    <mergeCell ref="A34:A38"/>
    <mergeCell ref="A39:A54"/>
    <mergeCell ref="Q3:AB4"/>
    <mergeCell ref="D5:F5"/>
    <mergeCell ref="G5:K5"/>
    <mergeCell ref="L5:L6"/>
    <mergeCell ref="M5:M6"/>
    <mergeCell ref="O5:O6"/>
    <mergeCell ref="P5:P6"/>
    <mergeCell ref="Q5:R5"/>
    <mergeCell ref="S5:T5"/>
    <mergeCell ref="U5:V5"/>
    <mergeCell ref="A3:A6"/>
    <mergeCell ref="B3:B6"/>
    <mergeCell ref="C3:C6"/>
    <mergeCell ref="D3:M4"/>
    <mergeCell ref="N3:N6"/>
    <mergeCell ref="O3:P4"/>
  </mergeCells>
  <phoneticPr fontId="6"/>
  <pageMargins left="0.74803149606299213" right="0.19685039370078741" top="0.59055118110236227" bottom="0.59055118110236227" header="0.51181102362204722" footer="0.51181102362204722"/>
  <pageSetup paperSize="9" scale="73" fitToWidth="2" fitToHeight="0" pageOrder="overThenDown" orientation="portrait" r:id="rId1"/>
  <headerFooter alignWithMargins="0"/>
  <rowBreaks count="1" manualBreakCount="1">
    <brk id="76" max="27" man="1"/>
  </rowBreaks>
  <colBreaks count="1" manualBreakCount="1">
    <brk id="13" max="157" man="1"/>
  </colBreaks>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FBCD8E-EEF2-4732-8F6F-A37DB1DBF2DE}">
  <dimension ref="A1:AD158"/>
  <sheetViews>
    <sheetView view="pageBreakPreview" zoomScale="80" zoomScaleNormal="80" zoomScaleSheetLayoutView="80" workbookViewId="0">
      <pane xSplit="3" ySplit="6" topLeftCell="U7" activePane="bottomRight" state="frozen"/>
      <selection pane="topRight" activeCell="D1" sqref="D1"/>
      <selection pane="bottomLeft" activeCell="A7" sqref="A7"/>
      <selection pane="bottomRight"/>
    </sheetView>
  </sheetViews>
  <sheetFormatPr defaultRowHeight="13"/>
  <cols>
    <col min="1" max="1" width="5.6328125" style="465" customWidth="1"/>
    <col min="2" max="2" width="4.08984375" style="461" customWidth="1"/>
    <col min="3" max="3" width="23.90625" style="460" bestFit="1" customWidth="1"/>
    <col min="4" max="4" width="5.6328125" style="465" customWidth="1"/>
    <col min="5" max="10" width="7.6328125" style="465" customWidth="1"/>
    <col min="11" max="11" width="5.6328125" style="670" customWidth="1"/>
    <col min="12" max="12" width="7.6328125" style="465" customWidth="1"/>
    <col min="13" max="13" width="5.6328125" style="670" customWidth="1"/>
    <col min="14" max="14" width="4.08984375" style="461" customWidth="1"/>
    <col min="15" max="15" width="7.6328125" style="465" customWidth="1"/>
    <col min="16" max="16" width="5.6328125" style="670" customWidth="1"/>
    <col min="17" max="17" width="7.6328125" style="465" customWidth="1"/>
    <col min="18" max="18" width="5.6328125" style="670" customWidth="1"/>
    <col min="19" max="19" width="7.6328125" style="465" customWidth="1"/>
    <col min="20" max="20" width="5.6328125" style="670" customWidth="1"/>
    <col min="21" max="21" width="7.6328125" style="465" customWidth="1"/>
    <col min="22" max="22" width="5.6328125" style="670" customWidth="1"/>
    <col min="23" max="23" width="7.6328125" style="465" customWidth="1"/>
    <col min="24" max="24" width="5.6328125" style="670" customWidth="1"/>
    <col min="25" max="25" width="7.6328125" style="670" customWidth="1"/>
    <col min="26" max="26" width="5.6328125" style="670" customWidth="1"/>
    <col min="27" max="27" width="7.6328125" style="465" customWidth="1"/>
    <col min="28" max="28" width="5.6328125" style="670" customWidth="1"/>
    <col min="29" max="29" width="7.6328125" style="465" customWidth="1"/>
    <col min="30" max="30" width="5.6328125" style="670" customWidth="1"/>
  </cols>
  <sheetData>
    <row r="1" spans="1:30" ht="16.5">
      <c r="A1" s="455" t="s">
        <v>1218</v>
      </c>
      <c r="B1" s="456"/>
      <c r="C1" s="455"/>
      <c r="D1" s="455"/>
      <c r="E1" s="455"/>
      <c r="F1" s="455"/>
      <c r="G1" s="455"/>
      <c r="H1" s="455"/>
      <c r="I1" s="455"/>
      <c r="J1" s="455"/>
      <c r="K1" s="459"/>
      <c r="L1" s="455"/>
      <c r="M1" s="459"/>
      <c r="N1" s="456"/>
      <c r="O1" s="455"/>
      <c r="P1" s="459"/>
      <c r="Q1" s="455"/>
      <c r="R1" s="459"/>
      <c r="S1" s="455"/>
      <c r="T1" s="459"/>
      <c r="U1" s="455"/>
      <c r="V1" s="459"/>
      <c r="W1" s="455"/>
      <c r="X1" s="459"/>
      <c r="Y1" s="459"/>
      <c r="Z1" s="459"/>
      <c r="AA1" s="455"/>
      <c r="AB1" s="459"/>
      <c r="AC1" s="455"/>
      <c r="AD1" s="459"/>
    </row>
    <row r="3" spans="1:30" ht="20.149999999999999" customHeight="1">
      <c r="A3" s="953" t="s">
        <v>495</v>
      </c>
      <c r="B3" s="953" t="s">
        <v>496</v>
      </c>
      <c r="C3" s="953" t="s">
        <v>1027</v>
      </c>
      <c r="D3" s="958" t="s">
        <v>778</v>
      </c>
      <c r="E3" s="960"/>
      <c r="F3" s="953" t="s">
        <v>1219</v>
      </c>
      <c r="G3" s="953" t="s">
        <v>1220</v>
      </c>
      <c r="H3" s="953" t="s">
        <v>1221</v>
      </c>
      <c r="I3" s="953" t="s">
        <v>1222</v>
      </c>
      <c r="J3" s="973" t="s">
        <v>1223</v>
      </c>
      <c r="K3" s="974"/>
      <c r="L3" s="974"/>
      <c r="M3" s="975"/>
      <c r="N3" s="953" t="s">
        <v>496</v>
      </c>
      <c r="O3" s="973" t="s">
        <v>1223</v>
      </c>
      <c r="P3" s="974"/>
      <c r="Q3" s="974"/>
      <c r="R3" s="974"/>
      <c r="S3" s="974"/>
      <c r="T3" s="974"/>
      <c r="U3" s="974"/>
      <c r="V3" s="974"/>
      <c r="W3" s="974"/>
      <c r="X3" s="974"/>
      <c r="Y3" s="974"/>
      <c r="Z3" s="974"/>
      <c r="AA3" s="974"/>
      <c r="AB3" s="975"/>
      <c r="AC3" s="958" t="s">
        <v>1224</v>
      </c>
      <c r="AD3" s="960"/>
    </row>
    <row r="4" spans="1:30" ht="15" customHeight="1">
      <c r="A4" s="957"/>
      <c r="B4" s="957"/>
      <c r="C4" s="957"/>
      <c r="D4" s="976"/>
      <c r="E4" s="977"/>
      <c r="F4" s="957"/>
      <c r="G4" s="957"/>
      <c r="H4" s="957"/>
      <c r="I4" s="957"/>
      <c r="J4" s="958" t="s">
        <v>1225</v>
      </c>
      <c r="K4" s="960"/>
      <c r="L4" s="958" t="s">
        <v>562</v>
      </c>
      <c r="M4" s="960"/>
      <c r="N4" s="957"/>
      <c r="O4" s="958" t="s">
        <v>186</v>
      </c>
      <c r="P4" s="960"/>
      <c r="Q4" s="958" t="s">
        <v>1226</v>
      </c>
      <c r="R4" s="960"/>
      <c r="S4" s="958" t="s">
        <v>870</v>
      </c>
      <c r="T4" s="960"/>
      <c r="U4" s="958" t="s">
        <v>1227</v>
      </c>
      <c r="V4" s="960"/>
      <c r="W4" s="958" t="s">
        <v>1228</v>
      </c>
      <c r="X4" s="960"/>
      <c r="Y4" s="958" t="s">
        <v>566</v>
      </c>
      <c r="Z4" s="960"/>
      <c r="AA4" s="958" t="s">
        <v>816</v>
      </c>
      <c r="AB4" s="960"/>
      <c r="AC4" s="976"/>
      <c r="AD4" s="977"/>
    </row>
    <row r="5" spans="1:30" ht="15" customHeight="1">
      <c r="A5" s="957"/>
      <c r="B5" s="957"/>
      <c r="C5" s="957"/>
      <c r="D5" s="961"/>
      <c r="E5" s="963"/>
      <c r="F5" s="957"/>
      <c r="G5" s="957"/>
      <c r="H5" s="957"/>
      <c r="I5" s="957"/>
      <c r="J5" s="961"/>
      <c r="K5" s="963"/>
      <c r="L5" s="961"/>
      <c r="M5" s="963"/>
      <c r="N5" s="957"/>
      <c r="O5" s="961"/>
      <c r="P5" s="963"/>
      <c r="Q5" s="961"/>
      <c r="R5" s="963"/>
      <c r="S5" s="961"/>
      <c r="T5" s="963"/>
      <c r="U5" s="961"/>
      <c r="V5" s="963"/>
      <c r="W5" s="961"/>
      <c r="X5" s="963"/>
      <c r="Y5" s="961"/>
      <c r="Z5" s="963"/>
      <c r="AA5" s="961"/>
      <c r="AB5" s="963"/>
      <c r="AC5" s="961"/>
      <c r="AD5" s="963"/>
    </row>
    <row r="6" spans="1:30" ht="30" customHeight="1">
      <c r="A6" s="954"/>
      <c r="B6" s="954"/>
      <c r="C6" s="954"/>
      <c r="D6" s="806" t="s">
        <v>1229</v>
      </c>
      <c r="E6" s="806" t="s">
        <v>1230</v>
      </c>
      <c r="F6" s="954"/>
      <c r="G6" s="954"/>
      <c r="H6" s="954"/>
      <c r="I6" s="954"/>
      <c r="J6" s="618" t="s">
        <v>1231</v>
      </c>
      <c r="K6" s="640" t="s">
        <v>795</v>
      </c>
      <c r="L6" s="618" t="s">
        <v>1231</v>
      </c>
      <c r="M6" s="640" t="s">
        <v>1210</v>
      </c>
      <c r="N6" s="954"/>
      <c r="O6" s="618" t="s">
        <v>1231</v>
      </c>
      <c r="P6" s="640" t="s">
        <v>1210</v>
      </c>
      <c r="Q6" s="618" t="s">
        <v>1231</v>
      </c>
      <c r="R6" s="640" t="s">
        <v>1210</v>
      </c>
      <c r="S6" s="618" t="s">
        <v>1231</v>
      </c>
      <c r="T6" s="640" t="s">
        <v>1210</v>
      </c>
      <c r="U6" s="618" t="s">
        <v>1231</v>
      </c>
      <c r="V6" s="640" t="s">
        <v>1210</v>
      </c>
      <c r="W6" s="618" t="s">
        <v>1231</v>
      </c>
      <c r="X6" s="640" t="s">
        <v>1210</v>
      </c>
      <c r="Y6" s="618" t="s">
        <v>1231</v>
      </c>
      <c r="Z6" s="640" t="s">
        <v>1210</v>
      </c>
      <c r="AA6" s="618" t="s">
        <v>1231</v>
      </c>
      <c r="AB6" s="640" t="s">
        <v>1210</v>
      </c>
      <c r="AC6" s="618" t="s">
        <v>1231</v>
      </c>
      <c r="AD6" s="640" t="s">
        <v>1210</v>
      </c>
    </row>
    <row r="7" spans="1:30" ht="11.25" customHeight="1">
      <c r="A7" s="947" t="s">
        <v>1054</v>
      </c>
      <c r="B7" s="539">
        <v>1</v>
      </c>
      <c r="C7" s="539" t="s">
        <v>1055</v>
      </c>
      <c r="D7" s="627">
        <v>4</v>
      </c>
      <c r="E7" s="467">
        <v>330</v>
      </c>
      <c r="F7" s="467">
        <v>2784</v>
      </c>
      <c r="G7" s="467">
        <v>13</v>
      </c>
      <c r="H7" s="467">
        <v>11908</v>
      </c>
      <c r="I7" s="467">
        <f>SUM(F7:H7)</f>
        <v>14705</v>
      </c>
      <c r="J7" s="467">
        <v>217</v>
      </c>
      <c r="K7" s="641">
        <f>J7/$I7</f>
        <v>1.4756885413124787E-2</v>
      </c>
      <c r="L7" s="467">
        <v>8357</v>
      </c>
      <c r="M7" s="641">
        <f>L7/$I7</f>
        <v>0.5683100986059163</v>
      </c>
      <c r="N7" s="539">
        <v>1</v>
      </c>
      <c r="O7" s="467">
        <v>2543</v>
      </c>
      <c r="P7" s="641">
        <f>O7/$I7</f>
        <v>0.17293437606256376</v>
      </c>
      <c r="Q7" s="467">
        <v>488</v>
      </c>
      <c r="R7" s="641">
        <f>Q7/$I7</f>
        <v>3.3185991159469568E-2</v>
      </c>
      <c r="S7" s="467">
        <v>488</v>
      </c>
      <c r="T7" s="641">
        <f>S7/$I7</f>
        <v>3.3185991159469568E-2</v>
      </c>
      <c r="U7" s="467">
        <v>0</v>
      </c>
      <c r="V7" s="641">
        <f>U7/$I7</f>
        <v>0</v>
      </c>
      <c r="W7" s="467">
        <v>0</v>
      </c>
      <c r="X7" s="641">
        <f>W7/$I7</f>
        <v>0</v>
      </c>
      <c r="Y7" s="2172">
        <v>2612</v>
      </c>
      <c r="Z7" s="641">
        <f>Y7/$I7</f>
        <v>0.17762665759945598</v>
      </c>
      <c r="AA7" s="467">
        <v>0</v>
      </c>
      <c r="AB7" s="641">
        <f>AA7/$I7</f>
        <v>0</v>
      </c>
      <c r="AC7" s="467">
        <v>2612</v>
      </c>
      <c r="AD7" s="641">
        <f>AC7/$I7</f>
        <v>0.17762665759945598</v>
      </c>
    </row>
    <row r="8" spans="1:30" ht="11.25" customHeight="1">
      <c r="A8" s="948"/>
      <c r="B8" s="535">
        <v>2</v>
      </c>
      <c r="C8" s="535" t="s">
        <v>1059</v>
      </c>
      <c r="D8" s="619">
        <v>2</v>
      </c>
      <c r="E8" s="491">
        <v>450</v>
      </c>
      <c r="F8" s="619">
        <v>2261</v>
      </c>
      <c r="G8" s="491">
        <v>1261</v>
      </c>
      <c r="H8" s="491">
        <v>12820</v>
      </c>
      <c r="I8" s="491">
        <f t="shared" ref="I8:I31" si="0">SUM(F8:H8)</f>
        <v>16342</v>
      </c>
      <c r="J8" s="491">
        <v>3522</v>
      </c>
      <c r="K8" s="642">
        <f t="shared" ref="K8:M32" si="1">J8/$I8</f>
        <v>0.2155182964141476</v>
      </c>
      <c r="L8" s="491">
        <v>0</v>
      </c>
      <c r="M8" s="642">
        <f t="shared" si="1"/>
        <v>0</v>
      </c>
      <c r="N8" s="535">
        <v>2</v>
      </c>
      <c r="O8" s="637">
        <v>12820</v>
      </c>
      <c r="P8" s="642">
        <f t="shared" ref="P8:P32" si="2">O8/$I8</f>
        <v>0.78448170358585245</v>
      </c>
      <c r="Q8" s="491">
        <v>0</v>
      </c>
      <c r="R8" s="642">
        <f t="shared" ref="R8:R32" si="3">Q8/$I8</f>
        <v>0</v>
      </c>
      <c r="S8" s="491">
        <v>0</v>
      </c>
      <c r="T8" s="642">
        <f t="shared" ref="T8:T32" si="4">S8/$I8</f>
        <v>0</v>
      </c>
      <c r="U8" s="491">
        <v>0</v>
      </c>
      <c r="V8" s="642">
        <f t="shared" ref="V8:V32" si="5">U8/$I8</f>
        <v>0</v>
      </c>
      <c r="W8" s="491">
        <v>0</v>
      </c>
      <c r="X8" s="642">
        <f t="shared" ref="X8:X32" si="6">W8/$I8</f>
        <v>0</v>
      </c>
      <c r="Y8" s="491">
        <v>0</v>
      </c>
      <c r="Z8" s="642">
        <f t="shared" ref="Z8:Z32" si="7">Y8/$I8</f>
        <v>0</v>
      </c>
      <c r="AA8" s="491">
        <v>0</v>
      </c>
      <c r="AB8" s="642">
        <f t="shared" ref="AB8:AB32" si="8">AA8/$I8</f>
        <v>0</v>
      </c>
      <c r="AC8" s="491">
        <v>0</v>
      </c>
      <c r="AD8" s="642">
        <f t="shared" ref="AD8:AD32" si="9">AC8/$I8</f>
        <v>0</v>
      </c>
    </row>
    <row r="9" spans="1:30" ht="11.25" customHeight="1">
      <c r="A9" s="948"/>
      <c r="B9" s="517">
        <v>3</v>
      </c>
      <c r="C9" s="553" t="s">
        <v>1062</v>
      </c>
      <c r="D9" s="621">
        <v>3</v>
      </c>
      <c r="E9" s="482">
        <v>171</v>
      </c>
      <c r="F9" s="621">
        <v>1351</v>
      </c>
      <c r="G9" s="482">
        <v>2227</v>
      </c>
      <c r="H9" s="482">
        <v>795</v>
      </c>
      <c r="I9" s="482">
        <f t="shared" si="0"/>
        <v>4373</v>
      </c>
      <c r="J9" s="482">
        <v>0</v>
      </c>
      <c r="K9" s="643">
        <f t="shared" si="1"/>
        <v>0</v>
      </c>
      <c r="L9" s="482">
        <v>3552</v>
      </c>
      <c r="M9" s="643">
        <f t="shared" si="1"/>
        <v>0.81225703178595932</v>
      </c>
      <c r="N9" s="517">
        <v>3</v>
      </c>
      <c r="O9" s="500">
        <v>0</v>
      </c>
      <c r="P9" s="643">
        <f t="shared" si="2"/>
        <v>0</v>
      </c>
      <c r="Q9" s="482">
        <v>0</v>
      </c>
      <c r="R9" s="643">
        <f t="shared" si="3"/>
        <v>0</v>
      </c>
      <c r="S9" s="482">
        <v>821</v>
      </c>
      <c r="T9" s="643">
        <f t="shared" si="4"/>
        <v>0.18774296821404071</v>
      </c>
      <c r="U9" s="482">
        <v>0</v>
      </c>
      <c r="V9" s="643">
        <f t="shared" si="5"/>
        <v>0</v>
      </c>
      <c r="W9" s="482">
        <v>0</v>
      </c>
      <c r="X9" s="643">
        <f t="shared" si="6"/>
        <v>0</v>
      </c>
      <c r="Y9" s="482">
        <v>0</v>
      </c>
      <c r="Z9" s="643">
        <f t="shared" si="7"/>
        <v>0</v>
      </c>
      <c r="AA9" s="482">
        <v>0</v>
      </c>
      <c r="AB9" s="643">
        <f t="shared" si="8"/>
        <v>0</v>
      </c>
      <c r="AC9" s="482">
        <v>0</v>
      </c>
      <c r="AD9" s="643">
        <f t="shared" si="9"/>
        <v>0</v>
      </c>
    </row>
    <row r="10" spans="1:30" ht="11.25" customHeight="1">
      <c r="A10" s="948"/>
      <c r="B10" s="518">
        <v>4</v>
      </c>
      <c r="C10" s="518" t="s">
        <v>1064</v>
      </c>
      <c r="D10" s="621">
        <v>1</v>
      </c>
      <c r="E10" s="482">
        <v>80</v>
      </c>
      <c r="F10" s="621">
        <v>2400</v>
      </c>
      <c r="G10" s="482">
        <v>0</v>
      </c>
      <c r="H10" s="482">
        <v>2400</v>
      </c>
      <c r="I10" s="482">
        <f t="shared" si="0"/>
        <v>4800</v>
      </c>
      <c r="J10" s="482">
        <v>0</v>
      </c>
      <c r="K10" s="643">
        <f t="shared" si="1"/>
        <v>0</v>
      </c>
      <c r="L10" s="482">
        <v>1600</v>
      </c>
      <c r="M10" s="643">
        <f t="shared" si="1"/>
        <v>0.33333333333333331</v>
      </c>
      <c r="N10" s="518">
        <v>4</v>
      </c>
      <c r="O10" s="500">
        <v>0</v>
      </c>
      <c r="P10" s="643">
        <f t="shared" si="2"/>
        <v>0</v>
      </c>
      <c r="Q10" s="482">
        <v>0</v>
      </c>
      <c r="R10" s="643">
        <f t="shared" si="3"/>
        <v>0</v>
      </c>
      <c r="S10" s="482">
        <v>0</v>
      </c>
      <c r="T10" s="643">
        <f t="shared" si="4"/>
        <v>0</v>
      </c>
      <c r="U10" s="482">
        <v>0</v>
      </c>
      <c r="V10" s="643">
        <f t="shared" si="5"/>
        <v>0</v>
      </c>
      <c r="W10" s="482">
        <v>0</v>
      </c>
      <c r="X10" s="643">
        <f t="shared" si="6"/>
        <v>0</v>
      </c>
      <c r="Y10" s="482">
        <v>1600</v>
      </c>
      <c r="Z10" s="643">
        <f t="shared" si="7"/>
        <v>0.33333333333333331</v>
      </c>
      <c r="AA10" s="482">
        <v>1600</v>
      </c>
      <c r="AB10" s="643">
        <f t="shared" si="8"/>
        <v>0.33333333333333331</v>
      </c>
      <c r="AC10" s="482">
        <v>0</v>
      </c>
      <c r="AD10" s="643">
        <f t="shared" si="9"/>
        <v>0</v>
      </c>
    </row>
    <row r="11" spans="1:30" ht="11.25" customHeight="1">
      <c r="A11" s="948"/>
      <c r="B11" s="521">
        <v>5</v>
      </c>
      <c r="C11" s="521" t="s">
        <v>1065</v>
      </c>
      <c r="D11" s="622">
        <v>1</v>
      </c>
      <c r="E11" s="478">
        <v>160</v>
      </c>
      <c r="F11" s="622">
        <v>2340</v>
      </c>
      <c r="G11" s="478">
        <v>0</v>
      </c>
      <c r="H11" s="478">
        <v>3270</v>
      </c>
      <c r="I11" s="478">
        <f t="shared" si="0"/>
        <v>5610</v>
      </c>
      <c r="J11" s="478">
        <v>0</v>
      </c>
      <c r="K11" s="644">
        <f t="shared" si="1"/>
        <v>0</v>
      </c>
      <c r="L11" s="478">
        <v>330</v>
      </c>
      <c r="M11" s="644">
        <f t="shared" si="1"/>
        <v>5.8823529411764705E-2</v>
      </c>
      <c r="N11" s="521">
        <v>5</v>
      </c>
      <c r="O11" s="486">
        <v>0</v>
      </c>
      <c r="P11" s="644">
        <f t="shared" si="2"/>
        <v>0</v>
      </c>
      <c r="Q11" s="478">
        <v>660</v>
      </c>
      <c r="R11" s="644">
        <f t="shared" si="3"/>
        <v>0.11764705882352941</v>
      </c>
      <c r="S11" s="478">
        <v>0</v>
      </c>
      <c r="T11" s="644">
        <f t="shared" si="4"/>
        <v>0</v>
      </c>
      <c r="U11" s="478">
        <v>0</v>
      </c>
      <c r="V11" s="644">
        <f t="shared" si="5"/>
        <v>0</v>
      </c>
      <c r="W11" s="478">
        <v>0</v>
      </c>
      <c r="X11" s="644">
        <f t="shared" si="6"/>
        <v>0</v>
      </c>
      <c r="Y11" s="478">
        <v>2310</v>
      </c>
      <c r="Z11" s="644">
        <f t="shared" si="7"/>
        <v>0.41176470588235292</v>
      </c>
      <c r="AA11" s="478">
        <v>2310</v>
      </c>
      <c r="AB11" s="644">
        <f t="shared" si="8"/>
        <v>0.41176470588235292</v>
      </c>
      <c r="AC11" s="478">
        <v>0</v>
      </c>
      <c r="AD11" s="644">
        <f t="shared" si="9"/>
        <v>0</v>
      </c>
    </row>
    <row r="12" spans="1:30" ht="11.25" customHeight="1">
      <c r="A12" s="948"/>
      <c r="B12" s="517">
        <v>6</v>
      </c>
      <c r="C12" s="517" t="s">
        <v>1067</v>
      </c>
      <c r="D12" s="621">
        <v>1</v>
      </c>
      <c r="E12" s="482">
        <v>234</v>
      </c>
      <c r="F12" s="621">
        <v>1021</v>
      </c>
      <c r="G12" s="482">
        <v>42</v>
      </c>
      <c r="H12" s="482">
        <v>3354</v>
      </c>
      <c r="I12" s="482">
        <f t="shared" si="0"/>
        <v>4417</v>
      </c>
      <c r="J12" s="482">
        <v>0</v>
      </c>
      <c r="K12" s="643">
        <f t="shared" si="1"/>
        <v>0</v>
      </c>
      <c r="L12" s="482">
        <v>1129</v>
      </c>
      <c r="M12" s="643">
        <f t="shared" si="1"/>
        <v>0.25560335069051393</v>
      </c>
      <c r="N12" s="517">
        <v>6</v>
      </c>
      <c r="O12" s="500">
        <v>198</v>
      </c>
      <c r="P12" s="643">
        <f t="shared" si="2"/>
        <v>4.4826805524111391E-2</v>
      </c>
      <c r="Q12" s="482">
        <v>0</v>
      </c>
      <c r="R12" s="643">
        <f t="shared" si="3"/>
        <v>0</v>
      </c>
      <c r="S12" s="482">
        <v>2126</v>
      </c>
      <c r="T12" s="643">
        <f t="shared" si="4"/>
        <v>0.48132216436495356</v>
      </c>
      <c r="U12" s="482">
        <v>0</v>
      </c>
      <c r="V12" s="643">
        <f t="shared" si="5"/>
        <v>0</v>
      </c>
      <c r="W12" s="482">
        <v>0</v>
      </c>
      <c r="X12" s="643">
        <f t="shared" si="6"/>
        <v>0</v>
      </c>
      <c r="Y12" s="482">
        <v>964</v>
      </c>
      <c r="Z12" s="643">
        <f t="shared" si="7"/>
        <v>0.21824767942042109</v>
      </c>
      <c r="AA12" s="482">
        <v>0</v>
      </c>
      <c r="AB12" s="643">
        <f t="shared" si="8"/>
        <v>0</v>
      </c>
      <c r="AC12" s="482">
        <v>0</v>
      </c>
      <c r="AD12" s="643">
        <f t="shared" si="9"/>
        <v>0</v>
      </c>
    </row>
    <row r="13" spans="1:30" ht="11.25" customHeight="1">
      <c r="A13" s="948"/>
      <c r="B13" s="580">
        <v>7</v>
      </c>
      <c r="C13" s="580" t="s">
        <v>1068</v>
      </c>
      <c r="D13" s="645">
        <v>2</v>
      </c>
      <c r="E13" s="473">
        <v>270</v>
      </c>
      <c r="F13" s="645">
        <v>245</v>
      </c>
      <c r="G13" s="473">
        <v>1292</v>
      </c>
      <c r="H13" s="473">
        <v>3828</v>
      </c>
      <c r="I13" s="473">
        <f t="shared" si="0"/>
        <v>5365</v>
      </c>
      <c r="J13" s="473">
        <v>0</v>
      </c>
      <c r="K13" s="646">
        <f t="shared" si="1"/>
        <v>0</v>
      </c>
      <c r="L13" s="473">
        <v>0</v>
      </c>
      <c r="M13" s="646">
        <f t="shared" si="1"/>
        <v>0</v>
      </c>
      <c r="N13" s="580">
        <v>7</v>
      </c>
      <c r="O13" s="581">
        <v>56</v>
      </c>
      <c r="P13" s="646">
        <f t="shared" si="2"/>
        <v>1.043802423112768E-2</v>
      </c>
      <c r="Q13" s="473">
        <v>0</v>
      </c>
      <c r="R13" s="646">
        <f t="shared" si="3"/>
        <v>0</v>
      </c>
      <c r="S13" s="473">
        <v>5309</v>
      </c>
      <c r="T13" s="646">
        <f t="shared" si="4"/>
        <v>0.98956197576887228</v>
      </c>
      <c r="U13" s="473">
        <v>0</v>
      </c>
      <c r="V13" s="646">
        <f t="shared" si="5"/>
        <v>0</v>
      </c>
      <c r="W13" s="473">
        <v>0</v>
      </c>
      <c r="X13" s="646">
        <f t="shared" si="6"/>
        <v>0</v>
      </c>
      <c r="Y13" s="473">
        <v>0</v>
      </c>
      <c r="Z13" s="646">
        <f t="shared" si="7"/>
        <v>0</v>
      </c>
      <c r="AA13" s="473">
        <v>0</v>
      </c>
      <c r="AB13" s="646">
        <f t="shared" si="8"/>
        <v>0</v>
      </c>
      <c r="AC13" s="473">
        <v>0</v>
      </c>
      <c r="AD13" s="646">
        <f t="shared" si="9"/>
        <v>0</v>
      </c>
    </row>
    <row r="14" spans="1:30" ht="11.25" customHeight="1">
      <c r="A14" s="948"/>
      <c r="B14" s="539">
        <v>8</v>
      </c>
      <c r="C14" s="539" t="s">
        <v>1069</v>
      </c>
      <c r="D14" s="627">
        <v>1</v>
      </c>
      <c r="E14" s="468" t="s">
        <v>76</v>
      </c>
      <c r="F14" s="627">
        <v>0</v>
      </c>
      <c r="G14" s="467">
        <v>1485</v>
      </c>
      <c r="H14" s="467">
        <v>3140</v>
      </c>
      <c r="I14" s="467">
        <f t="shared" si="0"/>
        <v>4625</v>
      </c>
      <c r="J14" s="467">
        <v>560</v>
      </c>
      <c r="K14" s="647">
        <f t="shared" si="1"/>
        <v>0.12108108108108108</v>
      </c>
      <c r="L14" s="467">
        <v>0</v>
      </c>
      <c r="M14" s="647">
        <f t="shared" si="1"/>
        <v>0</v>
      </c>
      <c r="N14" s="539">
        <v>8</v>
      </c>
      <c r="O14" s="471">
        <v>2215</v>
      </c>
      <c r="P14" s="647">
        <f t="shared" si="2"/>
        <v>0.47891891891891891</v>
      </c>
      <c r="Q14" s="467">
        <v>0</v>
      </c>
      <c r="R14" s="647">
        <f t="shared" si="3"/>
        <v>0</v>
      </c>
      <c r="S14" s="467">
        <v>1850</v>
      </c>
      <c r="T14" s="647">
        <f t="shared" si="4"/>
        <v>0.4</v>
      </c>
      <c r="U14" s="467">
        <v>0</v>
      </c>
      <c r="V14" s="647">
        <f t="shared" si="5"/>
        <v>0</v>
      </c>
      <c r="W14" s="467">
        <v>0</v>
      </c>
      <c r="X14" s="647">
        <f t="shared" si="6"/>
        <v>0</v>
      </c>
      <c r="Y14" s="467">
        <v>0</v>
      </c>
      <c r="Z14" s="647">
        <f t="shared" si="7"/>
        <v>0</v>
      </c>
      <c r="AA14" s="467">
        <v>0</v>
      </c>
      <c r="AB14" s="647">
        <f t="shared" si="8"/>
        <v>0</v>
      </c>
      <c r="AC14" s="467">
        <v>0</v>
      </c>
      <c r="AD14" s="647">
        <f t="shared" si="9"/>
        <v>0</v>
      </c>
    </row>
    <row r="15" spans="1:30" ht="11.25" customHeight="1">
      <c r="A15" s="948"/>
      <c r="B15" s="521">
        <v>9</v>
      </c>
      <c r="C15" s="521" t="s">
        <v>1232</v>
      </c>
      <c r="D15" s="622">
        <v>13</v>
      </c>
      <c r="E15" s="478">
        <v>2243</v>
      </c>
      <c r="F15" s="622">
        <v>6529</v>
      </c>
      <c r="G15" s="478">
        <v>6199</v>
      </c>
      <c r="H15" s="478">
        <v>48418</v>
      </c>
      <c r="I15" s="478">
        <f t="shared" si="0"/>
        <v>61146</v>
      </c>
      <c r="J15" s="478">
        <v>0</v>
      </c>
      <c r="K15" s="644">
        <f t="shared" si="1"/>
        <v>0</v>
      </c>
      <c r="L15" s="478">
        <v>43903</v>
      </c>
      <c r="M15" s="644">
        <f t="shared" si="1"/>
        <v>0.71800281293952184</v>
      </c>
      <c r="N15" s="521">
        <v>9</v>
      </c>
      <c r="O15" s="486">
        <v>2890</v>
      </c>
      <c r="P15" s="644">
        <f t="shared" si="2"/>
        <v>4.7263925686062865E-2</v>
      </c>
      <c r="Q15" s="478">
        <v>0</v>
      </c>
      <c r="R15" s="644">
        <f t="shared" si="3"/>
        <v>0</v>
      </c>
      <c r="S15" s="478">
        <v>13569</v>
      </c>
      <c r="T15" s="644">
        <f t="shared" si="4"/>
        <v>0.22191149053086057</v>
      </c>
      <c r="U15" s="478">
        <v>0</v>
      </c>
      <c r="V15" s="644">
        <f t="shared" si="5"/>
        <v>0</v>
      </c>
      <c r="W15" s="478">
        <v>0</v>
      </c>
      <c r="X15" s="644">
        <f t="shared" si="6"/>
        <v>0</v>
      </c>
      <c r="Y15" s="478">
        <v>784</v>
      </c>
      <c r="Z15" s="644">
        <f t="shared" si="7"/>
        <v>1.2821770843554771E-2</v>
      </c>
      <c r="AA15" s="478">
        <v>0</v>
      </c>
      <c r="AB15" s="644">
        <f t="shared" si="8"/>
        <v>0</v>
      </c>
      <c r="AC15" s="478">
        <v>0</v>
      </c>
      <c r="AD15" s="644">
        <f t="shared" si="9"/>
        <v>0</v>
      </c>
    </row>
    <row r="16" spans="1:30" ht="11.25" customHeight="1">
      <c r="A16" s="948"/>
      <c r="B16" s="538">
        <v>10</v>
      </c>
      <c r="C16" s="495" t="s">
        <v>1073</v>
      </c>
      <c r="D16" s="621">
        <v>10</v>
      </c>
      <c r="E16" s="482">
        <v>2722</v>
      </c>
      <c r="F16" s="621">
        <v>11459</v>
      </c>
      <c r="G16" s="482">
        <v>2245</v>
      </c>
      <c r="H16" s="482">
        <v>86224</v>
      </c>
      <c r="I16" s="482">
        <f t="shared" si="0"/>
        <v>99928</v>
      </c>
      <c r="J16" s="482">
        <v>3045</v>
      </c>
      <c r="K16" s="643">
        <f t="shared" si="1"/>
        <v>3.047193979665359E-2</v>
      </c>
      <c r="L16" s="482">
        <v>8918</v>
      </c>
      <c r="M16" s="643">
        <f t="shared" si="1"/>
        <v>8.9244255864222244E-2</v>
      </c>
      <c r="N16" s="538">
        <v>10</v>
      </c>
      <c r="O16" s="500">
        <v>2652</v>
      </c>
      <c r="P16" s="643">
        <f t="shared" si="2"/>
        <v>2.6539108157873668E-2</v>
      </c>
      <c r="Q16" s="482">
        <v>0</v>
      </c>
      <c r="R16" s="643">
        <f t="shared" si="3"/>
        <v>0</v>
      </c>
      <c r="S16" s="482">
        <v>76425</v>
      </c>
      <c r="T16" s="643">
        <f t="shared" si="4"/>
        <v>0.76480065647266027</v>
      </c>
      <c r="U16" s="482">
        <v>0</v>
      </c>
      <c r="V16" s="643">
        <f t="shared" si="5"/>
        <v>0</v>
      </c>
      <c r="W16" s="482">
        <v>0</v>
      </c>
      <c r="X16" s="643">
        <f t="shared" si="6"/>
        <v>0</v>
      </c>
      <c r="Y16" s="482">
        <v>4739</v>
      </c>
      <c r="Z16" s="643">
        <f t="shared" si="7"/>
        <v>4.7424145384676965E-2</v>
      </c>
      <c r="AA16" s="482">
        <v>4149</v>
      </c>
      <c r="AB16" s="643">
        <f t="shared" si="8"/>
        <v>4.1519894323913217E-2</v>
      </c>
      <c r="AC16" s="482">
        <v>8918</v>
      </c>
      <c r="AD16" s="643">
        <f t="shared" si="9"/>
        <v>8.9244255864222244E-2</v>
      </c>
    </row>
    <row r="17" spans="1:30" ht="11.25" customHeight="1">
      <c r="A17" s="948"/>
      <c r="B17" s="538">
        <v>11</v>
      </c>
      <c r="C17" s="495" t="s">
        <v>369</v>
      </c>
      <c r="D17" s="619">
        <v>8</v>
      </c>
      <c r="E17" s="491">
        <v>532</v>
      </c>
      <c r="F17" s="619">
        <v>6258</v>
      </c>
      <c r="G17" s="491">
        <v>5033</v>
      </c>
      <c r="H17" s="491">
        <v>14823</v>
      </c>
      <c r="I17" s="491">
        <f t="shared" si="0"/>
        <v>26114</v>
      </c>
      <c r="J17" s="491">
        <v>0</v>
      </c>
      <c r="K17" s="642">
        <f t="shared" si="1"/>
        <v>0</v>
      </c>
      <c r="L17" s="491">
        <v>7534</v>
      </c>
      <c r="M17" s="642">
        <f t="shared" si="1"/>
        <v>0.28850425059355134</v>
      </c>
      <c r="N17" s="538">
        <v>11</v>
      </c>
      <c r="O17" s="637">
        <v>0</v>
      </c>
      <c r="P17" s="642">
        <f t="shared" si="2"/>
        <v>0</v>
      </c>
      <c r="Q17" s="491">
        <v>0</v>
      </c>
      <c r="R17" s="642">
        <f t="shared" si="3"/>
        <v>0</v>
      </c>
      <c r="S17" s="491">
        <v>16094</v>
      </c>
      <c r="T17" s="642">
        <f t="shared" si="4"/>
        <v>0.61629777131040819</v>
      </c>
      <c r="U17" s="491">
        <v>0</v>
      </c>
      <c r="V17" s="642">
        <f t="shared" si="5"/>
        <v>0</v>
      </c>
      <c r="W17" s="491">
        <v>0</v>
      </c>
      <c r="X17" s="642">
        <f t="shared" si="6"/>
        <v>0</v>
      </c>
      <c r="Y17" s="491">
        <v>142</v>
      </c>
      <c r="Z17" s="642">
        <f t="shared" si="7"/>
        <v>5.4376962548824386E-3</v>
      </c>
      <c r="AA17" s="491">
        <v>2344</v>
      </c>
      <c r="AB17" s="642">
        <f t="shared" si="8"/>
        <v>8.9760281841158002E-2</v>
      </c>
      <c r="AC17" s="491">
        <v>2437</v>
      </c>
      <c r="AD17" s="642">
        <f t="shared" si="9"/>
        <v>9.3321589951750022E-2</v>
      </c>
    </row>
    <row r="18" spans="1:30" ht="11.25" customHeight="1">
      <c r="A18" s="948"/>
      <c r="B18" s="538">
        <v>12</v>
      </c>
      <c r="C18" s="495" t="s">
        <v>370</v>
      </c>
      <c r="D18" s="620">
        <v>8</v>
      </c>
      <c r="E18" s="495">
        <v>780</v>
      </c>
      <c r="F18" s="620">
        <v>11457</v>
      </c>
      <c r="G18" s="495">
        <v>250</v>
      </c>
      <c r="H18" s="495">
        <v>24518</v>
      </c>
      <c r="I18" s="495">
        <f t="shared" si="0"/>
        <v>36225</v>
      </c>
      <c r="J18" s="495">
        <v>0</v>
      </c>
      <c r="K18" s="648">
        <f t="shared" si="1"/>
        <v>0</v>
      </c>
      <c r="L18" s="495">
        <v>19796</v>
      </c>
      <c r="M18" s="648">
        <f t="shared" si="1"/>
        <v>0.54647342995169079</v>
      </c>
      <c r="N18" s="538">
        <v>12</v>
      </c>
      <c r="O18" s="589">
        <v>420</v>
      </c>
      <c r="P18" s="648">
        <f t="shared" si="2"/>
        <v>1.1594202898550725E-2</v>
      </c>
      <c r="Q18" s="495">
        <v>0</v>
      </c>
      <c r="R18" s="648">
        <f t="shared" si="3"/>
        <v>0</v>
      </c>
      <c r="S18" s="495">
        <v>2878</v>
      </c>
      <c r="T18" s="648">
        <f t="shared" si="4"/>
        <v>7.9447895100069013E-2</v>
      </c>
      <c r="U18" s="495">
        <v>0</v>
      </c>
      <c r="V18" s="648">
        <f t="shared" si="5"/>
        <v>0</v>
      </c>
      <c r="W18" s="495">
        <v>0</v>
      </c>
      <c r="X18" s="648">
        <f t="shared" si="6"/>
        <v>0</v>
      </c>
      <c r="Y18" s="495">
        <v>13131</v>
      </c>
      <c r="Z18" s="648">
        <f t="shared" si="7"/>
        <v>0.36248447204968942</v>
      </c>
      <c r="AA18" s="495">
        <v>0</v>
      </c>
      <c r="AB18" s="648">
        <f t="shared" si="8"/>
        <v>0</v>
      </c>
      <c r="AC18" s="495">
        <v>0</v>
      </c>
      <c r="AD18" s="648">
        <f t="shared" si="9"/>
        <v>0</v>
      </c>
    </row>
    <row r="19" spans="1:30" ht="11.25" customHeight="1">
      <c r="A19" s="948"/>
      <c r="B19" s="518">
        <v>13</v>
      </c>
      <c r="C19" s="472" t="s">
        <v>1075</v>
      </c>
      <c r="D19" s="623">
        <v>1</v>
      </c>
      <c r="E19" s="472">
        <v>242</v>
      </c>
      <c r="F19" s="623">
        <v>127</v>
      </c>
      <c r="G19" s="472">
        <v>1178</v>
      </c>
      <c r="H19" s="472">
        <v>7399</v>
      </c>
      <c r="I19" s="472">
        <f t="shared" si="0"/>
        <v>8704</v>
      </c>
      <c r="J19" s="472">
        <v>0</v>
      </c>
      <c r="K19" s="649">
        <f t="shared" si="1"/>
        <v>0</v>
      </c>
      <c r="L19" s="472">
        <v>7201</v>
      </c>
      <c r="M19" s="649">
        <f t="shared" si="1"/>
        <v>0.82732077205882348</v>
      </c>
      <c r="N19" s="518">
        <v>13</v>
      </c>
      <c r="O19" s="532">
        <v>1503</v>
      </c>
      <c r="P19" s="649">
        <f t="shared" si="2"/>
        <v>0.17267922794117646</v>
      </c>
      <c r="Q19" s="472">
        <v>0</v>
      </c>
      <c r="R19" s="649">
        <f t="shared" si="3"/>
        <v>0</v>
      </c>
      <c r="S19" s="472">
        <v>0</v>
      </c>
      <c r="T19" s="649">
        <f t="shared" si="4"/>
        <v>0</v>
      </c>
      <c r="U19" s="472">
        <v>0</v>
      </c>
      <c r="V19" s="649">
        <f t="shared" si="5"/>
        <v>0</v>
      </c>
      <c r="W19" s="472">
        <v>0</v>
      </c>
      <c r="X19" s="649">
        <f t="shared" si="6"/>
        <v>0</v>
      </c>
      <c r="Y19" s="472">
        <v>0</v>
      </c>
      <c r="Z19" s="649">
        <f t="shared" si="7"/>
        <v>0</v>
      </c>
      <c r="AA19" s="472">
        <v>0</v>
      </c>
      <c r="AB19" s="649">
        <f t="shared" si="8"/>
        <v>0</v>
      </c>
      <c r="AC19" s="472">
        <v>0</v>
      </c>
      <c r="AD19" s="649">
        <f t="shared" si="9"/>
        <v>0</v>
      </c>
    </row>
    <row r="20" spans="1:30" ht="11.25" customHeight="1">
      <c r="A20" s="948"/>
      <c r="B20" s="518">
        <v>14</v>
      </c>
      <c r="C20" s="472" t="s">
        <v>1076</v>
      </c>
      <c r="D20" s="623">
        <v>2</v>
      </c>
      <c r="E20" s="472">
        <v>401</v>
      </c>
      <c r="F20" s="623">
        <v>0</v>
      </c>
      <c r="G20" s="472">
        <v>1023</v>
      </c>
      <c r="H20" s="472">
        <v>4565</v>
      </c>
      <c r="I20" s="472">
        <f t="shared" si="0"/>
        <v>5588</v>
      </c>
      <c r="J20" s="472">
        <v>0</v>
      </c>
      <c r="K20" s="649">
        <f t="shared" si="1"/>
        <v>0</v>
      </c>
      <c r="L20" s="472">
        <v>0</v>
      </c>
      <c r="M20" s="649">
        <f t="shared" si="1"/>
        <v>0</v>
      </c>
      <c r="N20" s="518">
        <v>14</v>
      </c>
      <c r="O20" s="532">
        <v>0</v>
      </c>
      <c r="P20" s="649">
        <f t="shared" si="2"/>
        <v>0</v>
      </c>
      <c r="Q20" s="472">
        <v>5588</v>
      </c>
      <c r="R20" s="649">
        <f t="shared" si="3"/>
        <v>1</v>
      </c>
      <c r="S20" s="472">
        <v>0</v>
      </c>
      <c r="T20" s="649">
        <f t="shared" si="4"/>
        <v>0</v>
      </c>
      <c r="U20" s="472">
        <v>0</v>
      </c>
      <c r="V20" s="649">
        <f t="shared" si="5"/>
        <v>0</v>
      </c>
      <c r="W20" s="472">
        <v>0</v>
      </c>
      <c r="X20" s="649">
        <f t="shared" si="6"/>
        <v>0</v>
      </c>
      <c r="Y20" s="472">
        <v>0</v>
      </c>
      <c r="Z20" s="649">
        <f t="shared" si="7"/>
        <v>0</v>
      </c>
      <c r="AA20" s="472">
        <v>0</v>
      </c>
      <c r="AB20" s="649">
        <f t="shared" si="8"/>
        <v>0</v>
      </c>
      <c r="AC20" s="472">
        <v>0</v>
      </c>
      <c r="AD20" s="649">
        <f t="shared" si="9"/>
        <v>0</v>
      </c>
    </row>
    <row r="21" spans="1:30" ht="11.25" customHeight="1">
      <c r="A21" s="948"/>
      <c r="B21" s="518">
        <v>15</v>
      </c>
      <c r="C21" s="472" t="s">
        <v>1077</v>
      </c>
      <c r="D21" s="623">
        <v>2</v>
      </c>
      <c r="E21" s="472">
        <v>83</v>
      </c>
      <c r="F21" s="623">
        <v>0</v>
      </c>
      <c r="G21" s="472">
        <v>810</v>
      </c>
      <c r="H21" s="472">
        <v>1610</v>
      </c>
      <c r="I21" s="472">
        <f t="shared" si="0"/>
        <v>2420</v>
      </c>
      <c r="J21" s="472">
        <v>0</v>
      </c>
      <c r="K21" s="649">
        <f t="shared" si="1"/>
        <v>0</v>
      </c>
      <c r="L21" s="472">
        <v>0</v>
      </c>
      <c r="M21" s="649">
        <f t="shared" si="1"/>
        <v>0</v>
      </c>
      <c r="N21" s="518">
        <v>15</v>
      </c>
      <c r="O21" s="532">
        <v>0</v>
      </c>
      <c r="P21" s="649">
        <f t="shared" si="2"/>
        <v>0</v>
      </c>
      <c r="Q21" s="472">
        <v>0</v>
      </c>
      <c r="R21" s="649">
        <f t="shared" si="3"/>
        <v>0</v>
      </c>
      <c r="S21" s="472">
        <v>2420</v>
      </c>
      <c r="T21" s="649">
        <f t="shared" si="4"/>
        <v>1</v>
      </c>
      <c r="U21" s="472">
        <v>0</v>
      </c>
      <c r="V21" s="649">
        <f t="shared" si="5"/>
        <v>0</v>
      </c>
      <c r="W21" s="472">
        <v>0</v>
      </c>
      <c r="X21" s="649">
        <f t="shared" si="6"/>
        <v>0</v>
      </c>
      <c r="Y21" s="472">
        <v>0</v>
      </c>
      <c r="Z21" s="649">
        <f t="shared" si="7"/>
        <v>0</v>
      </c>
      <c r="AA21" s="472">
        <v>0</v>
      </c>
      <c r="AB21" s="649">
        <f t="shared" si="8"/>
        <v>0</v>
      </c>
      <c r="AC21" s="472">
        <v>0</v>
      </c>
      <c r="AD21" s="649">
        <f t="shared" si="9"/>
        <v>0</v>
      </c>
    </row>
    <row r="22" spans="1:30" ht="11.25" customHeight="1">
      <c r="A22" s="948"/>
      <c r="B22" s="518">
        <v>16</v>
      </c>
      <c r="C22" s="472" t="s">
        <v>1078</v>
      </c>
      <c r="D22" s="623">
        <v>1</v>
      </c>
      <c r="E22" s="472">
        <v>240</v>
      </c>
      <c r="F22" s="623">
        <v>0</v>
      </c>
      <c r="G22" s="472">
        <v>1545</v>
      </c>
      <c r="H22" s="472">
        <v>10397</v>
      </c>
      <c r="I22" s="472">
        <f t="shared" si="0"/>
        <v>11942</v>
      </c>
      <c r="J22" s="472">
        <v>0</v>
      </c>
      <c r="K22" s="649">
        <f t="shared" si="1"/>
        <v>0</v>
      </c>
      <c r="L22" s="472">
        <v>0</v>
      </c>
      <c r="M22" s="649">
        <f t="shared" si="1"/>
        <v>0</v>
      </c>
      <c r="N22" s="518">
        <v>16</v>
      </c>
      <c r="O22" s="532">
        <v>1545</v>
      </c>
      <c r="P22" s="649">
        <f t="shared" si="2"/>
        <v>0.12937531401775246</v>
      </c>
      <c r="Q22" s="472">
        <v>0</v>
      </c>
      <c r="R22" s="649">
        <f t="shared" si="3"/>
        <v>0</v>
      </c>
      <c r="S22" s="472">
        <v>10397</v>
      </c>
      <c r="T22" s="649">
        <f t="shared" si="4"/>
        <v>0.87062468598224751</v>
      </c>
      <c r="U22" s="472">
        <v>0</v>
      </c>
      <c r="V22" s="649">
        <f t="shared" si="5"/>
        <v>0</v>
      </c>
      <c r="W22" s="472">
        <v>0</v>
      </c>
      <c r="X22" s="649">
        <f t="shared" si="6"/>
        <v>0</v>
      </c>
      <c r="Y22" s="472">
        <v>0</v>
      </c>
      <c r="Z22" s="649">
        <f t="shared" si="7"/>
        <v>0</v>
      </c>
      <c r="AA22" s="472">
        <v>0</v>
      </c>
      <c r="AB22" s="649">
        <f t="shared" si="8"/>
        <v>0</v>
      </c>
      <c r="AC22" s="472">
        <v>0</v>
      </c>
      <c r="AD22" s="649">
        <f t="shared" si="9"/>
        <v>0</v>
      </c>
    </row>
    <row r="23" spans="1:30" ht="11.25" customHeight="1">
      <c r="A23" s="948"/>
      <c r="B23" s="518">
        <v>17</v>
      </c>
      <c r="C23" s="472" t="s">
        <v>1081</v>
      </c>
      <c r="D23" s="623">
        <v>7</v>
      </c>
      <c r="E23" s="472">
        <v>3940</v>
      </c>
      <c r="F23" s="623">
        <v>5750</v>
      </c>
      <c r="G23" s="472">
        <v>7154</v>
      </c>
      <c r="H23" s="472">
        <v>83224</v>
      </c>
      <c r="I23" s="472">
        <f t="shared" si="0"/>
        <v>96128</v>
      </c>
      <c r="J23" s="472">
        <v>0</v>
      </c>
      <c r="K23" s="649">
        <f t="shared" si="1"/>
        <v>0</v>
      </c>
      <c r="L23" s="472">
        <v>3364</v>
      </c>
      <c r="M23" s="649">
        <f t="shared" si="1"/>
        <v>3.4995006657789617E-2</v>
      </c>
      <c r="N23" s="518">
        <v>17</v>
      </c>
      <c r="O23" s="532">
        <v>3729</v>
      </c>
      <c r="P23" s="649">
        <f t="shared" si="2"/>
        <v>3.8792027296937419E-2</v>
      </c>
      <c r="Q23" s="472">
        <v>0</v>
      </c>
      <c r="R23" s="649">
        <f t="shared" si="3"/>
        <v>0</v>
      </c>
      <c r="S23" s="472">
        <v>85055</v>
      </c>
      <c r="T23" s="649">
        <f t="shared" si="4"/>
        <v>0.88480983688415449</v>
      </c>
      <c r="U23" s="472">
        <v>0</v>
      </c>
      <c r="V23" s="649">
        <f t="shared" si="5"/>
        <v>0</v>
      </c>
      <c r="W23" s="472">
        <v>0</v>
      </c>
      <c r="X23" s="649">
        <f t="shared" si="6"/>
        <v>0</v>
      </c>
      <c r="Y23" s="472">
        <v>3980</v>
      </c>
      <c r="Z23" s="649">
        <f t="shared" si="7"/>
        <v>4.1403129161118511E-2</v>
      </c>
      <c r="AA23" s="472">
        <v>0</v>
      </c>
      <c r="AB23" s="649">
        <f t="shared" si="8"/>
        <v>0</v>
      </c>
      <c r="AC23" s="472">
        <v>6500</v>
      </c>
      <c r="AD23" s="649">
        <f t="shared" si="9"/>
        <v>6.7618175765645799E-2</v>
      </c>
    </row>
    <row r="24" spans="1:30" ht="11.25" customHeight="1">
      <c r="A24" s="948"/>
      <c r="B24" s="517">
        <v>18</v>
      </c>
      <c r="C24" s="488" t="s">
        <v>1082</v>
      </c>
      <c r="D24" s="626">
        <v>2</v>
      </c>
      <c r="E24" s="488">
        <v>222</v>
      </c>
      <c r="F24" s="626">
        <v>0</v>
      </c>
      <c r="G24" s="488">
        <v>3934</v>
      </c>
      <c r="H24" s="488">
        <v>11773</v>
      </c>
      <c r="I24" s="488">
        <f t="shared" si="0"/>
        <v>15707</v>
      </c>
      <c r="J24" s="488">
        <v>0</v>
      </c>
      <c r="K24" s="643">
        <f t="shared" si="1"/>
        <v>0</v>
      </c>
      <c r="L24" s="482">
        <v>11458</v>
      </c>
      <c r="M24" s="643">
        <f t="shared" si="1"/>
        <v>0.72948366970140699</v>
      </c>
      <c r="N24" s="517">
        <v>18</v>
      </c>
      <c r="O24" s="500">
        <v>4249</v>
      </c>
      <c r="P24" s="643">
        <f t="shared" si="2"/>
        <v>0.27051633029859301</v>
      </c>
      <c r="Q24" s="482">
        <v>0</v>
      </c>
      <c r="R24" s="643">
        <f t="shared" si="3"/>
        <v>0</v>
      </c>
      <c r="S24" s="482">
        <v>0</v>
      </c>
      <c r="T24" s="643">
        <f t="shared" si="4"/>
        <v>0</v>
      </c>
      <c r="U24" s="482">
        <v>0</v>
      </c>
      <c r="V24" s="643">
        <f t="shared" si="5"/>
        <v>0</v>
      </c>
      <c r="W24" s="482">
        <v>0</v>
      </c>
      <c r="X24" s="643">
        <f t="shared" si="6"/>
        <v>0</v>
      </c>
      <c r="Y24" s="482">
        <v>0</v>
      </c>
      <c r="Z24" s="643">
        <f t="shared" si="7"/>
        <v>0</v>
      </c>
      <c r="AA24" s="482">
        <v>0</v>
      </c>
      <c r="AB24" s="643">
        <f t="shared" si="8"/>
        <v>0</v>
      </c>
      <c r="AC24" s="482">
        <v>1321</v>
      </c>
      <c r="AD24" s="643">
        <f t="shared" si="9"/>
        <v>8.4102629400904058E-2</v>
      </c>
    </row>
    <row r="25" spans="1:30" ht="11.25" customHeight="1">
      <c r="A25" s="948"/>
      <c r="B25" s="518">
        <v>19</v>
      </c>
      <c r="C25" s="472" t="s">
        <v>1083</v>
      </c>
      <c r="D25" s="623">
        <v>1</v>
      </c>
      <c r="E25" s="472">
        <v>110</v>
      </c>
      <c r="F25" s="623">
        <v>0</v>
      </c>
      <c r="G25" s="472">
        <v>1600</v>
      </c>
      <c r="H25" s="472">
        <v>6360</v>
      </c>
      <c r="I25" s="472">
        <f t="shared" si="0"/>
        <v>7960</v>
      </c>
      <c r="J25" s="472">
        <v>3980</v>
      </c>
      <c r="K25" s="649">
        <f t="shared" si="1"/>
        <v>0.5</v>
      </c>
      <c r="L25" s="472">
        <v>3245</v>
      </c>
      <c r="M25" s="649">
        <f t="shared" si="1"/>
        <v>0.40766331658291455</v>
      </c>
      <c r="N25" s="518">
        <v>19</v>
      </c>
      <c r="O25" s="532">
        <v>0</v>
      </c>
      <c r="P25" s="649">
        <f t="shared" si="2"/>
        <v>0</v>
      </c>
      <c r="Q25" s="472">
        <v>735</v>
      </c>
      <c r="R25" s="649">
        <f t="shared" si="3"/>
        <v>9.2336683417085424E-2</v>
      </c>
      <c r="S25" s="472">
        <v>0</v>
      </c>
      <c r="T25" s="649">
        <f t="shared" si="4"/>
        <v>0</v>
      </c>
      <c r="U25" s="472">
        <v>0</v>
      </c>
      <c r="V25" s="649">
        <f t="shared" si="5"/>
        <v>0</v>
      </c>
      <c r="W25" s="472">
        <v>0</v>
      </c>
      <c r="X25" s="649">
        <f t="shared" si="6"/>
        <v>0</v>
      </c>
      <c r="Y25" s="472">
        <v>0</v>
      </c>
      <c r="Z25" s="649">
        <f t="shared" si="7"/>
        <v>0</v>
      </c>
      <c r="AA25" s="472">
        <v>0</v>
      </c>
      <c r="AB25" s="649">
        <f t="shared" si="8"/>
        <v>0</v>
      </c>
      <c r="AC25" s="472">
        <v>0</v>
      </c>
      <c r="AD25" s="649">
        <f t="shared" si="9"/>
        <v>0</v>
      </c>
    </row>
    <row r="26" spans="1:30" ht="11.25" customHeight="1">
      <c r="A26" s="948"/>
      <c r="B26" s="517">
        <v>20</v>
      </c>
      <c r="C26" s="482" t="s">
        <v>1084</v>
      </c>
      <c r="D26" s="621">
        <v>5</v>
      </c>
      <c r="E26" s="482">
        <v>1203</v>
      </c>
      <c r="F26" s="621">
        <v>25687</v>
      </c>
      <c r="G26" s="482">
        <v>9770</v>
      </c>
      <c r="H26" s="482">
        <v>830</v>
      </c>
      <c r="I26" s="482">
        <f t="shared" si="0"/>
        <v>36287</v>
      </c>
      <c r="J26" s="482">
        <v>0</v>
      </c>
      <c r="K26" s="643">
        <f t="shared" si="1"/>
        <v>0</v>
      </c>
      <c r="L26" s="482">
        <v>10120</v>
      </c>
      <c r="M26" s="643">
        <f t="shared" si="1"/>
        <v>0.27888775594565546</v>
      </c>
      <c r="N26" s="517">
        <v>20</v>
      </c>
      <c r="O26" s="500">
        <v>0</v>
      </c>
      <c r="P26" s="643">
        <f t="shared" si="2"/>
        <v>0</v>
      </c>
      <c r="Q26" s="482">
        <v>830</v>
      </c>
      <c r="R26" s="643">
        <f t="shared" si="3"/>
        <v>2.2873205280127869E-2</v>
      </c>
      <c r="S26" s="482">
        <v>25337</v>
      </c>
      <c r="T26" s="643">
        <f t="shared" si="4"/>
        <v>0.69823903877421667</v>
      </c>
      <c r="U26" s="482">
        <v>0</v>
      </c>
      <c r="V26" s="643">
        <f t="shared" si="5"/>
        <v>0</v>
      </c>
      <c r="W26" s="482">
        <v>0</v>
      </c>
      <c r="X26" s="643">
        <f t="shared" si="6"/>
        <v>0</v>
      </c>
      <c r="Y26" s="482">
        <v>0</v>
      </c>
      <c r="Z26" s="643">
        <f t="shared" si="7"/>
        <v>0</v>
      </c>
      <c r="AA26" s="482">
        <v>0</v>
      </c>
      <c r="AB26" s="643">
        <f t="shared" si="8"/>
        <v>0</v>
      </c>
      <c r="AC26" s="482">
        <v>0</v>
      </c>
      <c r="AD26" s="643">
        <f t="shared" si="9"/>
        <v>0</v>
      </c>
    </row>
    <row r="27" spans="1:30" ht="11.25" customHeight="1">
      <c r="A27" s="948"/>
      <c r="B27" s="518">
        <v>21</v>
      </c>
      <c r="C27" s="472" t="s">
        <v>1085</v>
      </c>
      <c r="D27" s="623">
        <v>2</v>
      </c>
      <c r="E27" s="472">
        <v>166</v>
      </c>
      <c r="F27" s="623">
        <v>5</v>
      </c>
      <c r="G27" s="472">
        <v>2758</v>
      </c>
      <c r="H27" s="472">
        <v>7320</v>
      </c>
      <c r="I27" s="472">
        <f t="shared" si="0"/>
        <v>10083</v>
      </c>
      <c r="J27" s="472">
        <v>0</v>
      </c>
      <c r="K27" s="649">
        <f t="shared" si="1"/>
        <v>0</v>
      </c>
      <c r="L27" s="472">
        <v>1485</v>
      </c>
      <c r="M27" s="649">
        <f t="shared" si="1"/>
        <v>0.14727759595358525</v>
      </c>
      <c r="N27" s="518">
        <v>21</v>
      </c>
      <c r="O27" s="532">
        <v>2329</v>
      </c>
      <c r="P27" s="649">
        <f t="shared" si="2"/>
        <v>0.23098284240801348</v>
      </c>
      <c r="Q27" s="472">
        <v>300</v>
      </c>
      <c r="R27" s="649">
        <f t="shared" si="3"/>
        <v>2.9753049687592979E-2</v>
      </c>
      <c r="S27" s="472">
        <v>5969</v>
      </c>
      <c r="T27" s="649">
        <f t="shared" si="4"/>
        <v>0.59198651195080831</v>
      </c>
      <c r="U27" s="472">
        <v>0</v>
      </c>
      <c r="V27" s="649">
        <f t="shared" si="5"/>
        <v>0</v>
      </c>
      <c r="W27" s="472">
        <v>0</v>
      </c>
      <c r="X27" s="649">
        <f t="shared" si="6"/>
        <v>0</v>
      </c>
      <c r="Y27" s="472">
        <v>0</v>
      </c>
      <c r="Z27" s="649">
        <f t="shared" si="7"/>
        <v>0</v>
      </c>
      <c r="AA27" s="472">
        <v>0</v>
      </c>
      <c r="AB27" s="649">
        <f t="shared" si="8"/>
        <v>0</v>
      </c>
      <c r="AC27" s="472">
        <v>0</v>
      </c>
      <c r="AD27" s="649">
        <f t="shared" si="9"/>
        <v>0</v>
      </c>
    </row>
    <row r="28" spans="1:30" ht="11.25" customHeight="1">
      <c r="A28" s="948"/>
      <c r="B28" s="521">
        <v>22</v>
      </c>
      <c r="C28" s="478" t="s">
        <v>1086</v>
      </c>
      <c r="D28" s="479" t="s">
        <v>76</v>
      </c>
      <c r="E28" s="479" t="s">
        <v>76</v>
      </c>
      <c r="F28" s="622">
        <v>0</v>
      </c>
      <c r="G28" s="478">
        <v>413</v>
      </c>
      <c r="H28" s="478">
        <v>5914</v>
      </c>
      <c r="I28" s="478">
        <f t="shared" si="0"/>
        <v>6327</v>
      </c>
      <c r="J28" s="478">
        <v>0</v>
      </c>
      <c r="K28" s="644">
        <f t="shared" si="1"/>
        <v>0</v>
      </c>
      <c r="L28" s="478">
        <v>5914</v>
      </c>
      <c r="M28" s="644">
        <f t="shared" si="1"/>
        <v>0.9347241978820926</v>
      </c>
      <c r="N28" s="521">
        <v>22</v>
      </c>
      <c r="O28" s="486">
        <v>0</v>
      </c>
      <c r="P28" s="644">
        <f t="shared" si="2"/>
        <v>0</v>
      </c>
      <c r="Q28" s="478">
        <v>0</v>
      </c>
      <c r="R28" s="644">
        <f t="shared" si="3"/>
        <v>0</v>
      </c>
      <c r="S28" s="478">
        <v>413</v>
      </c>
      <c r="T28" s="644">
        <f t="shared" si="4"/>
        <v>6.5275802117907386E-2</v>
      </c>
      <c r="U28" s="478">
        <v>0</v>
      </c>
      <c r="V28" s="644">
        <f t="shared" si="5"/>
        <v>0</v>
      </c>
      <c r="W28" s="478">
        <v>0</v>
      </c>
      <c r="X28" s="644">
        <f t="shared" si="6"/>
        <v>0</v>
      </c>
      <c r="Y28" s="478">
        <v>0</v>
      </c>
      <c r="Z28" s="644">
        <f t="shared" si="7"/>
        <v>0</v>
      </c>
      <c r="AA28" s="478">
        <v>0</v>
      </c>
      <c r="AB28" s="644">
        <f t="shared" si="8"/>
        <v>0</v>
      </c>
      <c r="AC28" s="478">
        <v>413</v>
      </c>
      <c r="AD28" s="644">
        <f t="shared" si="9"/>
        <v>6.5275802117907386E-2</v>
      </c>
    </row>
    <row r="29" spans="1:30" ht="11.25" customHeight="1">
      <c r="A29" s="948"/>
      <c r="B29" s="517">
        <v>23</v>
      </c>
      <c r="C29" s="482" t="s">
        <v>1212</v>
      </c>
      <c r="D29" s="621">
        <v>2</v>
      </c>
      <c r="E29" s="482">
        <v>230</v>
      </c>
      <c r="F29" s="621">
        <v>5770</v>
      </c>
      <c r="G29" s="482">
        <v>4087</v>
      </c>
      <c r="H29" s="482">
        <v>4107</v>
      </c>
      <c r="I29" s="482">
        <f t="shared" si="0"/>
        <v>13964</v>
      </c>
      <c r="J29" s="482">
        <v>0</v>
      </c>
      <c r="K29" s="643">
        <f t="shared" si="1"/>
        <v>0</v>
      </c>
      <c r="L29" s="482">
        <v>0</v>
      </c>
      <c r="M29" s="643">
        <f t="shared" si="1"/>
        <v>0</v>
      </c>
      <c r="N29" s="517">
        <v>23</v>
      </c>
      <c r="O29" s="500">
        <v>0</v>
      </c>
      <c r="P29" s="643">
        <f t="shared" si="2"/>
        <v>0</v>
      </c>
      <c r="Q29" s="482">
        <v>0</v>
      </c>
      <c r="R29" s="643">
        <f t="shared" si="3"/>
        <v>0</v>
      </c>
      <c r="S29" s="482">
        <v>12989</v>
      </c>
      <c r="T29" s="643">
        <f t="shared" si="4"/>
        <v>0.93017759954167856</v>
      </c>
      <c r="U29" s="482">
        <v>0</v>
      </c>
      <c r="V29" s="643">
        <f t="shared" si="5"/>
        <v>0</v>
      </c>
      <c r="W29" s="482">
        <v>0</v>
      </c>
      <c r="X29" s="643">
        <f t="shared" si="6"/>
        <v>0</v>
      </c>
      <c r="Y29" s="482">
        <v>0</v>
      </c>
      <c r="Z29" s="643">
        <f t="shared" si="7"/>
        <v>0</v>
      </c>
      <c r="AA29" s="482">
        <v>975</v>
      </c>
      <c r="AB29" s="643">
        <f t="shared" si="8"/>
        <v>6.9822400458321401E-2</v>
      </c>
      <c r="AC29" s="482">
        <v>0</v>
      </c>
      <c r="AD29" s="643">
        <f t="shared" si="9"/>
        <v>0</v>
      </c>
    </row>
    <row r="30" spans="1:30" ht="11.25" customHeight="1">
      <c r="A30" s="948"/>
      <c r="B30" s="517">
        <v>24</v>
      </c>
      <c r="C30" s="482" t="s">
        <v>1088</v>
      </c>
      <c r="D30" s="621">
        <v>4</v>
      </c>
      <c r="E30" s="482">
        <v>6154</v>
      </c>
      <c r="F30" s="621">
        <v>7486</v>
      </c>
      <c r="G30" s="482">
        <v>0</v>
      </c>
      <c r="H30" s="482">
        <v>42667</v>
      </c>
      <c r="I30" s="482">
        <f t="shared" si="0"/>
        <v>50153</v>
      </c>
      <c r="J30" s="482">
        <v>0</v>
      </c>
      <c r="K30" s="643">
        <f t="shared" si="1"/>
        <v>0</v>
      </c>
      <c r="L30" s="482">
        <v>30694</v>
      </c>
      <c r="M30" s="643">
        <f t="shared" si="1"/>
        <v>0.61200725779115905</v>
      </c>
      <c r="N30" s="517">
        <v>24</v>
      </c>
      <c r="O30" s="500">
        <v>0</v>
      </c>
      <c r="P30" s="643">
        <f t="shared" si="2"/>
        <v>0</v>
      </c>
      <c r="Q30" s="482">
        <v>0</v>
      </c>
      <c r="R30" s="643">
        <f t="shared" si="3"/>
        <v>0</v>
      </c>
      <c r="S30" s="482">
        <v>18445</v>
      </c>
      <c r="T30" s="643">
        <f t="shared" si="4"/>
        <v>0.36777460969433534</v>
      </c>
      <c r="U30" s="482">
        <v>0</v>
      </c>
      <c r="V30" s="643">
        <f t="shared" si="5"/>
        <v>0</v>
      </c>
      <c r="W30" s="482">
        <v>0</v>
      </c>
      <c r="X30" s="643">
        <f t="shared" si="6"/>
        <v>0</v>
      </c>
      <c r="Y30" s="482">
        <v>966</v>
      </c>
      <c r="Z30" s="643">
        <f t="shared" si="7"/>
        <v>1.9261061152872211E-2</v>
      </c>
      <c r="AA30" s="482">
        <v>48</v>
      </c>
      <c r="AB30" s="643">
        <f t="shared" si="8"/>
        <v>9.5707136163340181E-4</v>
      </c>
      <c r="AC30" s="482">
        <v>0</v>
      </c>
      <c r="AD30" s="643">
        <f t="shared" si="9"/>
        <v>0</v>
      </c>
    </row>
    <row r="31" spans="1:30" ht="11.25" customHeight="1" thickBot="1">
      <c r="A31" s="948"/>
      <c r="B31" s="538">
        <v>25</v>
      </c>
      <c r="C31" s="495" t="s">
        <v>1089</v>
      </c>
      <c r="D31" s="620">
        <v>2</v>
      </c>
      <c r="E31" s="495">
        <v>1763</v>
      </c>
      <c r="F31" s="620">
        <v>1586</v>
      </c>
      <c r="G31" s="495">
        <v>0</v>
      </c>
      <c r="H31" s="495">
        <v>13748</v>
      </c>
      <c r="I31" s="495">
        <f t="shared" si="0"/>
        <v>15334</v>
      </c>
      <c r="J31" s="495">
        <v>874</v>
      </c>
      <c r="K31" s="648">
        <f t="shared" si="1"/>
        <v>5.6997521846876224E-2</v>
      </c>
      <c r="L31" s="495">
        <v>12153</v>
      </c>
      <c r="M31" s="648">
        <f t="shared" si="1"/>
        <v>0.79255249771749059</v>
      </c>
      <c r="N31" s="538">
        <v>25</v>
      </c>
      <c r="O31" s="589">
        <v>0</v>
      </c>
      <c r="P31" s="648">
        <f t="shared" si="2"/>
        <v>0</v>
      </c>
      <c r="Q31" s="495">
        <v>0</v>
      </c>
      <c r="R31" s="648">
        <f t="shared" si="3"/>
        <v>0</v>
      </c>
      <c r="S31" s="495">
        <v>1771</v>
      </c>
      <c r="T31" s="648">
        <f t="shared" si="4"/>
        <v>0.11549497847919656</v>
      </c>
      <c r="U31" s="495">
        <v>0</v>
      </c>
      <c r="V31" s="648">
        <f t="shared" si="5"/>
        <v>0</v>
      </c>
      <c r="W31" s="495">
        <v>0</v>
      </c>
      <c r="X31" s="648">
        <f t="shared" si="6"/>
        <v>0</v>
      </c>
      <c r="Y31" s="495">
        <v>536</v>
      </c>
      <c r="Z31" s="648">
        <f t="shared" si="7"/>
        <v>3.4955001956436679E-2</v>
      </c>
      <c r="AA31" s="495">
        <v>0</v>
      </c>
      <c r="AB31" s="648">
        <f t="shared" si="8"/>
        <v>0</v>
      </c>
      <c r="AC31" s="495">
        <v>0</v>
      </c>
      <c r="AD31" s="648">
        <f t="shared" si="9"/>
        <v>0</v>
      </c>
    </row>
    <row r="32" spans="1:30" ht="11.25" customHeight="1" thickTop="1">
      <c r="A32" s="948"/>
      <c r="B32" s="502"/>
      <c r="C32" s="536" t="s">
        <v>34</v>
      </c>
      <c r="D32" s="650">
        <f t="shared" ref="D32:J32" si="10">SUM(D7:D31)</f>
        <v>85</v>
      </c>
      <c r="E32" s="650">
        <f t="shared" si="10"/>
        <v>22726</v>
      </c>
      <c r="F32" s="650">
        <f t="shared" si="10"/>
        <v>94516</v>
      </c>
      <c r="G32" s="650">
        <f t="shared" si="10"/>
        <v>54319</v>
      </c>
      <c r="H32" s="650">
        <f t="shared" si="10"/>
        <v>415412</v>
      </c>
      <c r="I32" s="650">
        <f t="shared" si="10"/>
        <v>564247</v>
      </c>
      <c r="J32" s="650">
        <f t="shared" si="10"/>
        <v>12198</v>
      </c>
      <c r="K32" s="651">
        <f t="shared" si="1"/>
        <v>2.1618192032921753E-2</v>
      </c>
      <c r="L32" s="650">
        <f>SUM(L7:L31)</f>
        <v>180753</v>
      </c>
      <c r="M32" s="651">
        <f t="shared" si="1"/>
        <v>0.32034375016615063</v>
      </c>
      <c r="N32" s="502"/>
      <c r="O32" s="650">
        <f>SUM(O7:O31)</f>
        <v>37149</v>
      </c>
      <c r="P32" s="651">
        <f t="shared" si="2"/>
        <v>6.5838187885801785E-2</v>
      </c>
      <c r="Q32" s="650">
        <f>SUM(Q7:Q31)</f>
        <v>8601</v>
      </c>
      <c r="R32" s="651">
        <f t="shared" si="3"/>
        <v>1.5243324288830955E-2</v>
      </c>
      <c r="S32" s="650">
        <f>SUM(S7:S31)</f>
        <v>282356</v>
      </c>
      <c r="T32" s="651">
        <f t="shared" si="4"/>
        <v>0.50041205358646124</v>
      </c>
      <c r="U32" s="650">
        <f>SUM(U7:U31)</f>
        <v>0</v>
      </c>
      <c r="V32" s="651">
        <f t="shared" si="5"/>
        <v>0</v>
      </c>
      <c r="W32" s="650">
        <f>SUM(W7:W31)</f>
        <v>0</v>
      </c>
      <c r="X32" s="651">
        <f t="shared" si="6"/>
        <v>0</v>
      </c>
      <c r="Y32" s="650">
        <f>SUM(Y7:Y31)</f>
        <v>31764</v>
      </c>
      <c r="Z32" s="651">
        <f t="shared" si="7"/>
        <v>5.6294495141312226E-2</v>
      </c>
      <c r="AA32" s="650">
        <f>SUM(AA7:AA31)</f>
        <v>11426</v>
      </c>
      <c r="AB32" s="651">
        <f t="shared" si="8"/>
        <v>2.0249996898521392E-2</v>
      </c>
      <c r="AC32" s="650">
        <f>SUM(AC7:AC31)</f>
        <v>22201</v>
      </c>
      <c r="AD32" s="651">
        <f t="shared" si="9"/>
        <v>3.9346243754951292E-2</v>
      </c>
    </row>
    <row r="33" spans="1:30" ht="11.25" customHeight="1">
      <c r="A33" s="949"/>
      <c r="B33" s="509"/>
      <c r="C33" s="510"/>
      <c r="D33" s="652"/>
      <c r="E33" s="653"/>
      <c r="F33" s="2173"/>
      <c r="G33" s="653"/>
      <c r="H33" s="653"/>
      <c r="I33" s="653"/>
      <c r="J33" s="653"/>
      <c r="K33" s="654"/>
      <c r="L33" s="653"/>
      <c r="M33" s="655"/>
      <c r="N33" s="509"/>
      <c r="O33" s="2174"/>
      <c r="P33" s="654"/>
      <c r="Q33" s="653"/>
      <c r="R33" s="654"/>
      <c r="S33" s="653"/>
      <c r="T33" s="654"/>
      <c r="U33" s="653"/>
      <c r="V33" s="654"/>
      <c r="W33" s="653"/>
      <c r="X33" s="654"/>
      <c r="Y33" s="653"/>
      <c r="Z33" s="654"/>
      <c r="AA33" s="653"/>
      <c r="AB33" s="654"/>
      <c r="AC33" s="653"/>
      <c r="AD33" s="654"/>
    </row>
    <row r="34" spans="1:30" ht="11.25" customHeight="1">
      <c r="A34" s="947" t="s">
        <v>704</v>
      </c>
      <c r="B34" s="517">
        <v>26</v>
      </c>
      <c r="C34" s="517" t="s">
        <v>1092</v>
      </c>
      <c r="D34" s="621">
        <v>2</v>
      </c>
      <c r="E34" s="482">
        <v>1100</v>
      </c>
      <c r="F34" s="621">
        <v>269</v>
      </c>
      <c r="G34" s="482">
        <v>1211</v>
      </c>
      <c r="H34" s="482">
        <v>669</v>
      </c>
      <c r="I34" s="482">
        <f t="shared" ref="I34:I36" si="11">SUM(F34:H34)</f>
        <v>2149</v>
      </c>
      <c r="J34" s="482">
        <v>0</v>
      </c>
      <c r="K34" s="643">
        <f t="shared" ref="K34:M37" si="12">J34/$I34</f>
        <v>0</v>
      </c>
      <c r="L34" s="482">
        <v>1797</v>
      </c>
      <c r="M34" s="643">
        <f t="shared" ref="M34:M36" si="13">L34/$I34</f>
        <v>0.83620288506281992</v>
      </c>
      <c r="N34" s="517">
        <v>26</v>
      </c>
      <c r="O34" s="500">
        <v>0</v>
      </c>
      <c r="P34" s="643">
        <f t="shared" ref="P34:P37" si="14">O34/$I34</f>
        <v>0</v>
      </c>
      <c r="Q34" s="482">
        <v>0</v>
      </c>
      <c r="R34" s="643">
        <f t="shared" ref="R34:R37" si="15">Q34/$I34</f>
        <v>0</v>
      </c>
      <c r="S34" s="482">
        <v>352</v>
      </c>
      <c r="T34" s="643">
        <f t="shared" ref="T34:T37" si="16">S34/$I34</f>
        <v>0.16379711493718008</v>
      </c>
      <c r="U34" s="482">
        <v>0</v>
      </c>
      <c r="V34" s="643">
        <f t="shared" ref="V34:V37" si="17">U34/$I34</f>
        <v>0</v>
      </c>
      <c r="W34" s="482">
        <v>0</v>
      </c>
      <c r="X34" s="643">
        <f t="shared" ref="X34:X37" si="18">W34/$I34</f>
        <v>0</v>
      </c>
      <c r="Y34" s="482">
        <v>0</v>
      </c>
      <c r="Z34" s="643">
        <f t="shared" ref="Z34:Z37" si="19">Y34/$I34</f>
        <v>0</v>
      </c>
      <c r="AA34" s="2175">
        <v>0</v>
      </c>
      <c r="AB34" s="643">
        <f t="shared" ref="AB34:AB37" si="20">AA34/$I34</f>
        <v>0</v>
      </c>
      <c r="AC34" s="482">
        <v>0</v>
      </c>
      <c r="AD34" s="643">
        <f t="shared" ref="AD34:AD37" si="21">AC34/$I34</f>
        <v>0</v>
      </c>
    </row>
    <row r="35" spans="1:30" ht="11.25" customHeight="1">
      <c r="A35" s="948"/>
      <c r="B35" s="521">
        <v>27</v>
      </c>
      <c r="C35" s="521" t="s">
        <v>1093</v>
      </c>
      <c r="D35" s="622">
        <v>2</v>
      </c>
      <c r="E35" s="478">
        <v>90</v>
      </c>
      <c r="F35" s="622">
        <v>119</v>
      </c>
      <c r="G35" s="478">
        <v>177</v>
      </c>
      <c r="H35" s="478">
        <v>1649</v>
      </c>
      <c r="I35" s="478">
        <f t="shared" si="11"/>
        <v>1945</v>
      </c>
      <c r="J35" s="478">
        <v>0</v>
      </c>
      <c r="K35" s="644">
        <f t="shared" si="12"/>
        <v>0</v>
      </c>
      <c r="L35" s="478">
        <v>0</v>
      </c>
      <c r="M35" s="644">
        <f t="shared" si="13"/>
        <v>0</v>
      </c>
      <c r="N35" s="521">
        <v>27</v>
      </c>
      <c r="O35" s="486">
        <v>0</v>
      </c>
      <c r="P35" s="644">
        <f t="shared" si="14"/>
        <v>0</v>
      </c>
      <c r="Q35" s="478">
        <v>0</v>
      </c>
      <c r="R35" s="644">
        <f t="shared" si="15"/>
        <v>0</v>
      </c>
      <c r="S35" s="478">
        <v>1945</v>
      </c>
      <c r="T35" s="644">
        <f t="shared" si="16"/>
        <v>1</v>
      </c>
      <c r="U35" s="478">
        <v>0</v>
      </c>
      <c r="V35" s="644">
        <f t="shared" si="17"/>
        <v>0</v>
      </c>
      <c r="W35" s="478">
        <v>0</v>
      </c>
      <c r="X35" s="644">
        <f t="shared" si="18"/>
        <v>0</v>
      </c>
      <c r="Y35" s="478">
        <v>0</v>
      </c>
      <c r="Z35" s="644">
        <f t="shared" si="19"/>
        <v>0</v>
      </c>
      <c r="AA35" s="2176">
        <v>0</v>
      </c>
      <c r="AB35" s="644">
        <f t="shared" si="20"/>
        <v>0</v>
      </c>
      <c r="AC35" s="478">
        <v>0</v>
      </c>
      <c r="AD35" s="644">
        <f t="shared" si="21"/>
        <v>0</v>
      </c>
    </row>
    <row r="36" spans="1:30" ht="11.25" customHeight="1" thickBot="1">
      <c r="A36" s="948"/>
      <c r="B36" s="517">
        <v>28</v>
      </c>
      <c r="C36" s="517" t="s">
        <v>379</v>
      </c>
      <c r="D36" s="621">
        <v>25</v>
      </c>
      <c r="E36" s="482">
        <v>2480</v>
      </c>
      <c r="F36" s="621">
        <v>16705</v>
      </c>
      <c r="G36" s="482">
        <v>20072</v>
      </c>
      <c r="H36" s="482">
        <v>63271</v>
      </c>
      <c r="I36" s="482">
        <f t="shared" si="11"/>
        <v>100048</v>
      </c>
      <c r="J36" s="482">
        <v>3448</v>
      </c>
      <c r="K36" s="643">
        <f t="shared" si="12"/>
        <v>3.4463457540380618E-2</v>
      </c>
      <c r="L36" s="482">
        <v>68352</v>
      </c>
      <c r="M36" s="643">
        <f t="shared" si="13"/>
        <v>0.68319206780745245</v>
      </c>
      <c r="N36" s="517">
        <v>28</v>
      </c>
      <c r="O36" s="500">
        <v>1560</v>
      </c>
      <c r="P36" s="643">
        <f t="shared" si="14"/>
        <v>1.5592515592515593E-2</v>
      </c>
      <c r="Q36" s="482">
        <v>0</v>
      </c>
      <c r="R36" s="643">
        <f t="shared" si="15"/>
        <v>0</v>
      </c>
      <c r="S36" s="482">
        <v>21661</v>
      </c>
      <c r="T36" s="643">
        <f t="shared" si="16"/>
        <v>0.21650607708300015</v>
      </c>
      <c r="U36" s="482">
        <v>0</v>
      </c>
      <c r="V36" s="643">
        <f t="shared" si="17"/>
        <v>0</v>
      </c>
      <c r="W36" s="482">
        <v>0</v>
      </c>
      <c r="X36" s="643">
        <f t="shared" si="18"/>
        <v>0</v>
      </c>
      <c r="Y36" s="482">
        <v>4701</v>
      </c>
      <c r="Z36" s="643">
        <f t="shared" si="19"/>
        <v>4.6987446025907563E-2</v>
      </c>
      <c r="AA36" s="2177">
        <v>326</v>
      </c>
      <c r="AB36" s="643">
        <f t="shared" si="20"/>
        <v>3.2584359507436432E-3</v>
      </c>
      <c r="AC36" s="482">
        <v>0</v>
      </c>
      <c r="AD36" s="643">
        <f t="shared" si="21"/>
        <v>0</v>
      </c>
    </row>
    <row r="37" spans="1:30" ht="11.25" customHeight="1" thickTop="1">
      <c r="A37" s="948"/>
      <c r="B37" s="502"/>
      <c r="C37" s="536" t="s">
        <v>34</v>
      </c>
      <c r="D37" s="650">
        <f>SUM(D34:D36)</f>
        <v>29</v>
      </c>
      <c r="E37" s="650">
        <f t="shared" ref="E37:J37" si="22">SUM(E34:E36)</f>
        <v>3670</v>
      </c>
      <c r="F37" s="650">
        <f t="shared" si="22"/>
        <v>17093</v>
      </c>
      <c r="G37" s="650">
        <f t="shared" si="22"/>
        <v>21460</v>
      </c>
      <c r="H37" s="650">
        <f t="shared" si="22"/>
        <v>65589</v>
      </c>
      <c r="I37" s="650">
        <f t="shared" si="22"/>
        <v>104142</v>
      </c>
      <c r="J37" s="650">
        <f t="shared" si="22"/>
        <v>3448</v>
      </c>
      <c r="K37" s="651">
        <f t="shared" si="12"/>
        <v>3.3108640125981831E-2</v>
      </c>
      <c r="L37" s="650">
        <f>SUM(L34:L36)</f>
        <v>70149</v>
      </c>
      <c r="M37" s="651">
        <f t="shared" si="12"/>
        <v>0.6735899060897621</v>
      </c>
      <c r="N37" s="502"/>
      <c r="O37" s="650">
        <f>SUM(O34:O36)</f>
        <v>1560</v>
      </c>
      <c r="P37" s="651">
        <f t="shared" si="14"/>
        <v>1.4979547156766722E-2</v>
      </c>
      <c r="Q37" s="650">
        <f>SUM(Q34:Q36)</f>
        <v>0</v>
      </c>
      <c r="R37" s="651">
        <f t="shared" si="15"/>
        <v>0</v>
      </c>
      <c r="S37" s="650">
        <f>SUM(S34:S36)</f>
        <v>23958</v>
      </c>
      <c r="T37" s="651">
        <f t="shared" si="16"/>
        <v>0.23005127614219048</v>
      </c>
      <c r="U37" s="650">
        <f>SUM(U34:U36)</f>
        <v>0</v>
      </c>
      <c r="V37" s="651">
        <f t="shared" si="17"/>
        <v>0</v>
      </c>
      <c r="W37" s="650">
        <f>SUM(W34:W36)</f>
        <v>0</v>
      </c>
      <c r="X37" s="651">
        <f t="shared" si="18"/>
        <v>0</v>
      </c>
      <c r="Y37" s="650">
        <f>SUM(Y34:Y36)</f>
        <v>4701</v>
      </c>
      <c r="Z37" s="651">
        <f t="shared" si="19"/>
        <v>4.5140289220487413E-2</v>
      </c>
      <c r="AA37" s="650">
        <f>SUM(AA34:AA36)</f>
        <v>326</v>
      </c>
      <c r="AB37" s="651">
        <f t="shared" si="20"/>
        <v>3.1303412648115074E-3</v>
      </c>
      <c r="AC37" s="650">
        <f>SUM(AC34:AC36)</f>
        <v>0</v>
      </c>
      <c r="AD37" s="651">
        <f t="shared" si="21"/>
        <v>0</v>
      </c>
    </row>
    <row r="38" spans="1:30" ht="11.25" customHeight="1">
      <c r="A38" s="949"/>
      <c r="B38" s="509"/>
      <c r="C38" s="537"/>
      <c r="D38" s="652"/>
      <c r="E38" s="653"/>
      <c r="F38" s="2173"/>
      <c r="G38" s="653"/>
      <c r="H38" s="653"/>
      <c r="I38" s="653"/>
      <c r="J38" s="653"/>
      <c r="K38" s="654"/>
      <c r="L38" s="653"/>
      <c r="M38" s="655"/>
      <c r="N38" s="509"/>
      <c r="O38" s="2174"/>
      <c r="P38" s="654"/>
      <c r="Q38" s="653"/>
      <c r="R38" s="654"/>
      <c r="S38" s="653"/>
      <c r="T38" s="654"/>
      <c r="U38" s="653"/>
      <c r="V38" s="654"/>
      <c r="W38" s="653"/>
      <c r="X38" s="654"/>
      <c r="Y38" s="653"/>
      <c r="Z38" s="654"/>
      <c r="AA38" s="653"/>
      <c r="AB38" s="654"/>
      <c r="AC38" s="653"/>
      <c r="AD38" s="654"/>
    </row>
    <row r="39" spans="1:30" ht="11.25" customHeight="1">
      <c r="A39" s="947" t="s">
        <v>1095</v>
      </c>
      <c r="B39" s="535">
        <v>29</v>
      </c>
      <c r="C39" s="491" t="s">
        <v>1096</v>
      </c>
      <c r="D39" s="619">
        <v>2</v>
      </c>
      <c r="E39" s="491">
        <v>81</v>
      </c>
      <c r="F39" s="619">
        <v>0</v>
      </c>
      <c r="G39" s="491">
        <v>0</v>
      </c>
      <c r="H39" s="491">
        <v>1130</v>
      </c>
      <c r="I39" s="491">
        <f t="shared" ref="I39:I52" si="23">SUM(F39:H39)</f>
        <v>1130</v>
      </c>
      <c r="J39" s="491">
        <v>0</v>
      </c>
      <c r="K39" s="642">
        <f t="shared" ref="K39:M53" si="24">J39/$I39</f>
        <v>0</v>
      </c>
      <c r="L39" s="491">
        <v>240</v>
      </c>
      <c r="M39" s="642">
        <f t="shared" si="24"/>
        <v>0.21238938053097345</v>
      </c>
      <c r="N39" s="535">
        <v>29</v>
      </c>
      <c r="O39" s="637">
        <v>0</v>
      </c>
      <c r="P39" s="642">
        <f t="shared" ref="P39:P53" si="25">O39/$I39</f>
        <v>0</v>
      </c>
      <c r="Q39" s="491">
        <v>0</v>
      </c>
      <c r="R39" s="642">
        <f t="shared" ref="R39:R53" si="26">Q39/$I39</f>
        <v>0</v>
      </c>
      <c r="S39" s="491">
        <v>890</v>
      </c>
      <c r="T39" s="642">
        <f t="shared" ref="T39:T53" si="27">S39/$I39</f>
        <v>0.78761061946902655</v>
      </c>
      <c r="U39" s="491">
        <v>0</v>
      </c>
      <c r="V39" s="642">
        <f t="shared" ref="V39:V53" si="28">U39/$I39</f>
        <v>0</v>
      </c>
      <c r="W39" s="491">
        <v>0</v>
      </c>
      <c r="X39" s="642">
        <f t="shared" ref="X39:X53" si="29">W39/$I39</f>
        <v>0</v>
      </c>
      <c r="Y39" s="491">
        <v>0</v>
      </c>
      <c r="Z39" s="642">
        <f t="shared" ref="Z39:Z53" si="30">Y39/$I39</f>
        <v>0</v>
      </c>
      <c r="AA39" s="491">
        <v>0</v>
      </c>
      <c r="AB39" s="642">
        <f t="shared" ref="AB39:AB53" si="31">AA39/$I39</f>
        <v>0</v>
      </c>
      <c r="AC39" s="491">
        <v>890</v>
      </c>
      <c r="AD39" s="642">
        <f t="shared" ref="AD39:AD53" si="32">AC39/$I39</f>
        <v>0.78761061946902655</v>
      </c>
    </row>
    <row r="40" spans="1:30" ht="11.25" customHeight="1">
      <c r="A40" s="948"/>
      <c r="B40" s="553">
        <v>30</v>
      </c>
      <c r="C40" s="482" t="s">
        <v>1097</v>
      </c>
      <c r="D40" s="621">
        <v>6</v>
      </c>
      <c r="E40" s="482">
        <v>456</v>
      </c>
      <c r="F40" s="621">
        <v>228</v>
      </c>
      <c r="G40" s="482">
        <v>1928</v>
      </c>
      <c r="H40" s="482">
        <v>11382</v>
      </c>
      <c r="I40" s="482">
        <f t="shared" si="23"/>
        <v>13538</v>
      </c>
      <c r="J40" s="482">
        <v>0</v>
      </c>
      <c r="K40" s="643">
        <f t="shared" si="24"/>
        <v>0</v>
      </c>
      <c r="L40" s="482">
        <v>6148</v>
      </c>
      <c r="M40" s="643">
        <f t="shared" si="24"/>
        <v>0.45412911803811495</v>
      </c>
      <c r="N40" s="553">
        <v>30</v>
      </c>
      <c r="O40" s="500">
        <v>3506</v>
      </c>
      <c r="P40" s="643">
        <f t="shared" si="25"/>
        <v>0.2589747377751514</v>
      </c>
      <c r="Q40" s="482">
        <v>124</v>
      </c>
      <c r="R40" s="643">
        <f t="shared" si="26"/>
        <v>9.1594031614714144E-3</v>
      </c>
      <c r="S40" s="482">
        <v>0</v>
      </c>
      <c r="T40" s="643">
        <f t="shared" si="27"/>
        <v>0</v>
      </c>
      <c r="U40" s="482">
        <v>0</v>
      </c>
      <c r="V40" s="643">
        <f t="shared" si="28"/>
        <v>0</v>
      </c>
      <c r="W40" s="482">
        <v>0</v>
      </c>
      <c r="X40" s="643">
        <f t="shared" si="29"/>
        <v>0</v>
      </c>
      <c r="Y40" s="482">
        <v>3760</v>
      </c>
      <c r="Z40" s="643">
        <f t="shared" si="30"/>
        <v>0.27773674102526225</v>
      </c>
      <c r="AA40" s="482">
        <v>0</v>
      </c>
      <c r="AB40" s="643">
        <f t="shared" si="31"/>
        <v>0</v>
      </c>
      <c r="AC40" s="482">
        <v>2876</v>
      </c>
      <c r="AD40" s="643">
        <f t="shared" si="32"/>
        <v>0.2124390604225144</v>
      </c>
    </row>
    <row r="41" spans="1:30" ht="11.25" customHeight="1">
      <c r="A41" s="948"/>
      <c r="B41" s="521">
        <v>31</v>
      </c>
      <c r="C41" s="478" t="s">
        <v>1099</v>
      </c>
      <c r="D41" s="622">
        <v>1</v>
      </c>
      <c r="E41" s="478">
        <v>200</v>
      </c>
      <c r="F41" s="620">
        <v>0</v>
      </c>
      <c r="G41" s="495">
        <v>454</v>
      </c>
      <c r="H41" s="495">
        <v>7861</v>
      </c>
      <c r="I41" s="495">
        <f t="shared" si="23"/>
        <v>8315</v>
      </c>
      <c r="J41" s="495">
        <v>0</v>
      </c>
      <c r="K41" s="648">
        <f t="shared" si="24"/>
        <v>0</v>
      </c>
      <c r="L41" s="495">
        <v>8315</v>
      </c>
      <c r="M41" s="648">
        <f t="shared" si="24"/>
        <v>1</v>
      </c>
      <c r="N41" s="521">
        <v>31</v>
      </c>
      <c r="O41" s="589">
        <v>0</v>
      </c>
      <c r="P41" s="648">
        <f t="shared" si="25"/>
        <v>0</v>
      </c>
      <c r="Q41" s="495">
        <v>0</v>
      </c>
      <c r="R41" s="648">
        <f t="shared" si="26"/>
        <v>0</v>
      </c>
      <c r="S41" s="495">
        <v>0</v>
      </c>
      <c r="T41" s="648">
        <f t="shared" si="27"/>
        <v>0</v>
      </c>
      <c r="U41" s="495">
        <v>0</v>
      </c>
      <c r="V41" s="648">
        <f t="shared" si="28"/>
        <v>0</v>
      </c>
      <c r="W41" s="495">
        <v>0</v>
      </c>
      <c r="X41" s="648">
        <f t="shared" si="29"/>
        <v>0</v>
      </c>
      <c r="Y41" s="478">
        <v>0</v>
      </c>
      <c r="Z41" s="648">
        <f t="shared" si="30"/>
        <v>0</v>
      </c>
      <c r="AA41" s="478">
        <v>0</v>
      </c>
      <c r="AB41" s="648">
        <f t="shared" si="31"/>
        <v>0</v>
      </c>
      <c r="AC41" s="478">
        <v>0</v>
      </c>
      <c r="AD41" s="648">
        <f t="shared" si="32"/>
        <v>0</v>
      </c>
    </row>
    <row r="42" spans="1:30" ht="11.25" customHeight="1">
      <c r="A42" s="948"/>
      <c r="B42" s="553">
        <v>32</v>
      </c>
      <c r="C42" s="482" t="s">
        <v>1102</v>
      </c>
      <c r="D42" s="621">
        <v>3</v>
      </c>
      <c r="E42" s="482">
        <v>565</v>
      </c>
      <c r="F42" s="621">
        <v>326</v>
      </c>
      <c r="G42" s="482">
        <v>2300</v>
      </c>
      <c r="H42" s="482">
        <v>6785</v>
      </c>
      <c r="I42" s="482">
        <f t="shared" si="23"/>
        <v>9411</v>
      </c>
      <c r="J42" s="482">
        <v>940</v>
      </c>
      <c r="K42" s="643">
        <f t="shared" si="24"/>
        <v>9.9883115503134626E-2</v>
      </c>
      <c r="L42" s="482">
        <v>0</v>
      </c>
      <c r="M42" s="643">
        <f t="shared" si="24"/>
        <v>0</v>
      </c>
      <c r="N42" s="553">
        <v>32</v>
      </c>
      <c r="O42" s="500">
        <v>0</v>
      </c>
      <c r="P42" s="643">
        <f t="shared" si="25"/>
        <v>0</v>
      </c>
      <c r="Q42" s="482">
        <v>0</v>
      </c>
      <c r="R42" s="643">
        <f t="shared" si="26"/>
        <v>0</v>
      </c>
      <c r="S42" s="482">
        <v>7396</v>
      </c>
      <c r="T42" s="643">
        <f t="shared" si="27"/>
        <v>0.78588885346934434</v>
      </c>
      <c r="U42" s="482">
        <v>0</v>
      </c>
      <c r="V42" s="643">
        <f t="shared" si="28"/>
        <v>0</v>
      </c>
      <c r="W42" s="482">
        <v>0</v>
      </c>
      <c r="X42" s="643">
        <f t="shared" si="29"/>
        <v>0</v>
      </c>
      <c r="Y42" s="482">
        <v>1075</v>
      </c>
      <c r="Z42" s="643">
        <f t="shared" si="30"/>
        <v>0.11422803102752098</v>
      </c>
      <c r="AA42" s="482">
        <v>0</v>
      </c>
      <c r="AB42" s="643">
        <f t="shared" si="31"/>
        <v>0</v>
      </c>
      <c r="AC42" s="482">
        <v>1075</v>
      </c>
      <c r="AD42" s="643">
        <f t="shared" si="32"/>
        <v>0.11422803102752098</v>
      </c>
    </row>
    <row r="43" spans="1:30" ht="11.25" customHeight="1">
      <c r="A43" s="948"/>
      <c r="B43" s="518">
        <v>33</v>
      </c>
      <c r="C43" s="472" t="s">
        <v>1103</v>
      </c>
      <c r="D43" s="623">
        <v>2</v>
      </c>
      <c r="E43" s="472">
        <v>398</v>
      </c>
      <c r="F43" s="623">
        <v>25</v>
      </c>
      <c r="G43" s="472">
        <v>3565</v>
      </c>
      <c r="H43" s="472">
        <v>14757</v>
      </c>
      <c r="I43" s="472">
        <f t="shared" si="23"/>
        <v>18347</v>
      </c>
      <c r="J43" s="472">
        <v>25</v>
      </c>
      <c r="K43" s="649">
        <f t="shared" si="24"/>
        <v>1.3626205919223852E-3</v>
      </c>
      <c r="L43" s="472">
        <v>4160</v>
      </c>
      <c r="M43" s="649">
        <f t="shared" si="24"/>
        <v>0.22674006649588488</v>
      </c>
      <c r="N43" s="518">
        <v>33</v>
      </c>
      <c r="O43" s="532">
        <v>0</v>
      </c>
      <c r="P43" s="649">
        <f t="shared" si="25"/>
        <v>0</v>
      </c>
      <c r="Q43" s="472">
        <v>0</v>
      </c>
      <c r="R43" s="649">
        <f t="shared" si="26"/>
        <v>0</v>
      </c>
      <c r="S43" s="472">
        <v>14162</v>
      </c>
      <c r="T43" s="649">
        <f t="shared" si="27"/>
        <v>0.77189731291219277</v>
      </c>
      <c r="U43" s="472">
        <v>0</v>
      </c>
      <c r="V43" s="649">
        <f t="shared" si="28"/>
        <v>0</v>
      </c>
      <c r="W43" s="472">
        <v>0</v>
      </c>
      <c r="X43" s="649">
        <f t="shared" si="29"/>
        <v>0</v>
      </c>
      <c r="Y43" s="472">
        <v>0</v>
      </c>
      <c r="Z43" s="649">
        <f t="shared" si="30"/>
        <v>0</v>
      </c>
      <c r="AA43" s="472">
        <v>0</v>
      </c>
      <c r="AB43" s="649">
        <f t="shared" si="31"/>
        <v>0</v>
      </c>
      <c r="AC43" s="472">
        <v>0</v>
      </c>
      <c r="AD43" s="649">
        <f t="shared" si="32"/>
        <v>0</v>
      </c>
    </row>
    <row r="44" spans="1:30" ht="11.25" customHeight="1">
      <c r="A44" s="948"/>
      <c r="B44" s="553">
        <v>34</v>
      </c>
      <c r="C44" s="472" t="s">
        <v>1104</v>
      </c>
      <c r="D44" s="623">
        <v>2</v>
      </c>
      <c r="E44" s="472">
        <v>110</v>
      </c>
      <c r="F44" s="623">
        <v>30</v>
      </c>
      <c r="G44" s="472">
        <v>0</v>
      </c>
      <c r="H44" s="472">
        <v>3300</v>
      </c>
      <c r="I44" s="472">
        <f t="shared" si="23"/>
        <v>3330</v>
      </c>
      <c r="J44" s="472">
        <v>0</v>
      </c>
      <c r="K44" s="649">
        <f t="shared" si="24"/>
        <v>0</v>
      </c>
      <c r="L44" s="472">
        <v>0</v>
      </c>
      <c r="M44" s="649">
        <f t="shared" si="24"/>
        <v>0</v>
      </c>
      <c r="N44" s="553">
        <v>34</v>
      </c>
      <c r="O44" s="532">
        <v>30</v>
      </c>
      <c r="P44" s="649">
        <f t="shared" si="25"/>
        <v>9.0090090090090089E-3</v>
      </c>
      <c r="Q44" s="472">
        <v>0</v>
      </c>
      <c r="R44" s="649">
        <f t="shared" si="26"/>
        <v>0</v>
      </c>
      <c r="S44" s="472">
        <v>3300</v>
      </c>
      <c r="T44" s="649">
        <f t="shared" si="27"/>
        <v>0.99099099099099097</v>
      </c>
      <c r="U44" s="472">
        <v>0</v>
      </c>
      <c r="V44" s="649">
        <f t="shared" si="28"/>
        <v>0</v>
      </c>
      <c r="W44" s="472">
        <v>0</v>
      </c>
      <c r="X44" s="649">
        <f t="shared" si="29"/>
        <v>0</v>
      </c>
      <c r="Y44" s="472">
        <v>0</v>
      </c>
      <c r="Z44" s="649">
        <f t="shared" si="30"/>
        <v>0</v>
      </c>
      <c r="AA44" s="472">
        <v>0</v>
      </c>
      <c r="AB44" s="649">
        <f t="shared" si="31"/>
        <v>0</v>
      </c>
      <c r="AC44" s="472">
        <v>0</v>
      </c>
      <c r="AD44" s="649">
        <f t="shared" si="32"/>
        <v>0</v>
      </c>
    </row>
    <row r="45" spans="1:30" ht="11.25" customHeight="1">
      <c r="A45" s="948"/>
      <c r="B45" s="518">
        <v>35</v>
      </c>
      <c r="C45" s="472" t="s">
        <v>1105</v>
      </c>
      <c r="D45" s="623">
        <v>3</v>
      </c>
      <c r="E45" s="472">
        <v>700</v>
      </c>
      <c r="F45" s="623">
        <v>151</v>
      </c>
      <c r="G45" s="472">
        <v>360</v>
      </c>
      <c r="H45" s="472">
        <v>13989</v>
      </c>
      <c r="I45" s="472">
        <f t="shared" si="23"/>
        <v>14500</v>
      </c>
      <c r="J45" s="472">
        <v>210</v>
      </c>
      <c r="K45" s="649">
        <f t="shared" si="24"/>
        <v>1.4482758620689656E-2</v>
      </c>
      <c r="L45" s="472">
        <v>0</v>
      </c>
      <c r="M45" s="649">
        <f t="shared" si="24"/>
        <v>0</v>
      </c>
      <c r="N45" s="518">
        <v>35</v>
      </c>
      <c r="O45" s="532">
        <v>560</v>
      </c>
      <c r="P45" s="649">
        <f t="shared" si="25"/>
        <v>3.8620689655172416E-2</v>
      </c>
      <c r="Q45" s="472">
        <v>0</v>
      </c>
      <c r="R45" s="649">
        <f t="shared" si="26"/>
        <v>0</v>
      </c>
      <c r="S45" s="472">
        <v>13730</v>
      </c>
      <c r="T45" s="649">
        <f t="shared" si="27"/>
        <v>0.94689655172413789</v>
      </c>
      <c r="U45" s="472">
        <v>0</v>
      </c>
      <c r="V45" s="649">
        <f t="shared" si="28"/>
        <v>0</v>
      </c>
      <c r="W45" s="472">
        <v>0</v>
      </c>
      <c r="X45" s="649">
        <f t="shared" si="29"/>
        <v>0</v>
      </c>
      <c r="Y45" s="472">
        <v>0</v>
      </c>
      <c r="Z45" s="649">
        <f t="shared" si="30"/>
        <v>0</v>
      </c>
      <c r="AA45" s="472">
        <v>0</v>
      </c>
      <c r="AB45" s="649">
        <f t="shared" si="31"/>
        <v>0</v>
      </c>
      <c r="AC45" s="472">
        <v>0</v>
      </c>
      <c r="AD45" s="649">
        <f t="shared" si="32"/>
        <v>0</v>
      </c>
    </row>
    <row r="46" spans="1:30" ht="11.25" customHeight="1">
      <c r="A46" s="948"/>
      <c r="B46" s="553">
        <v>36</v>
      </c>
      <c r="C46" s="472" t="s">
        <v>1106</v>
      </c>
      <c r="D46" s="621">
        <v>1</v>
      </c>
      <c r="E46" s="482">
        <v>303</v>
      </c>
      <c r="F46" s="621">
        <v>0</v>
      </c>
      <c r="G46" s="482">
        <v>820</v>
      </c>
      <c r="H46" s="482">
        <v>7460</v>
      </c>
      <c r="I46" s="482">
        <f t="shared" si="23"/>
        <v>8280</v>
      </c>
      <c r="J46" s="482">
        <v>7970</v>
      </c>
      <c r="K46" s="643">
        <f t="shared" si="24"/>
        <v>0.9625603864734299</v>
      </c>
      <c r="L46" s="482">
        <v>0</v>
      </c>
      <c r="M46" s="643">
        <f t="shared" si="24"/>
        <v>0</v>
      </c>
      <c r="N46" s="553">
        <v>36</v>
      </c>
      <c r="O46" s="500">
        <v>0</v>
      </c>
      <c r="P46" s="643">
        <f t="shared" si="25"/>
        <v>0</v>
      </c>
      <c r="Q46" s="482">
        <v>0</v>
      </c>
      <c r="R46" s="643">
        <f t="shared" si="26"/>
        <v>0</v>
      </c>
      <c r="S46" s="482">
        <v>310</v>
      </c>
      <c r="T46" s="643">
        <f t="shared" si="27"/>
        <v>3.7439613526570048E-2</v>
      </c>
      <c r="U46" s="482">
        <v>0</v>
      </c>
      <c r="V46" s="643">
        <f t="shared" si="28"/>
        <v>0</v>
      </c>
      <c r="W46" s="482">
        <v>0</v>
      </c>
      <c r="X46" s="643">
        <f t="shared" si="29"/>
        <v>0</v>
      </c>
      <c r="Y46" s="482">
        <v>0</v>
      </c>
      <c r="Z46" s="643">
        <f t="shared" si="30"/>
        <v>0</v>
      </c>
      <c r="AA46" s="482">
        <v>0</v>
      </c>
      <c r="AB46" s="643">
        <f t="shared" si="31"/>
        <v>0</v>
      </c>
      <c r="AC46" s="482">
        <v>0</v>
      </c>
      <c r="AD46" s="643">
        <f t="shared" si="32"/>
        <v>0</v>
      </c>
    </row>
    <row r="47" spans="1:30" ht="11.25" customHeight="1">
      <c r="A47" s="948"/>
      <c r="B47" s="518">
        <v>37</v>
      </c>
      <c r="C47" s="472" t="s">
        <v>1107</v>
      </c>
      <c r="D47" s="623">
        <v>2</v>
      </c>
      <c r="E47" s="472">
        <v>750</v>
      </c>
      <c r="F47" s="623">
        <v>4240</v>
      </c>
      <c r="G47" s="472">
        <v>0</v>
      </c>
      <c r="H47" s="472">
        <v>8622</v>
      </c>
      <c r="I47" s="472">
        <f t="shared" si="23"/>
        <v>12862</v>
      </c>
      <c r="J47" s="472">
        <v>0</v>
      </c>
      <c r="K47" s="649">
        <f t="shared" si="24"/>
        <v>0</v>
      </c>
      <c r="L47" s="472">
        <v>4187</v>
      </c>
      <c r="M47" s="649">
        <f t="shared" si="24"/>
        <v>0.32553257658218004</v>
      </c>
      <c r="N47" s="518">
        <v>37</v>
      </c>
      <c r="O47" s="532">
        <v>530</v>
      </c>
      <c r="P47" s="649">
        <f t="shared" si="25"/>
        <v>4.1206655263567094E-2</v>
      </c>
      <c r="Q47" s="472">
        <v>0</v>
      </c>
      <c r="R47" s="649">
        <f t="shared" si="26"/>
        <v>0</v>
      </c>
      <c r="S47" s="472">
        <v>6565</v>
      </c>
      <c r="T47" s="649">
        <f t="shared" si="27"/>
        <v>0.51041828642512832</v>
      </c>
      <c r="U47" s="472">
        <v>0</v>
      </c>
      <c r="V47" s="649">
        <f t="shared" si="28"/>
        <v>0</v>
      </c>
      <c r="W47" s="472">
        <v>0</v>
      </c>
      <c r="X47" s="649">
        <f t="shared" si="29"/>
        <v>0</v>
      </c>
      <c r="Y47" s="472">
        <v>790</v>
      </c>
      <c r="Z47" s="649">
        <f t="shared" si="30"/>
        <v>6.1421240864562278E-2</v>
      </c>
      <c r="AA47" s="472">
        <v>790</v>
      </c>
      <c r="AB47" s="649">
        <f t="shared" si="31"/>
        <v>6.1421240864562278E-2</v>
      </c>
      <c r="AC47" s="472">
        <v>0</v>
      </c>
      <c r="AD47" s="649">
        <f t="shared" si="32"/>
        <v>0</v>
      </c>
    </row>
    <row r="48" spans="1:30" ht="11.25" customHeight="1">
      <c r="A48" s="948"/>
      <c r="B48" s="553">
        <v>38</v>
      </c>
      <c r="C48" s="472" t="s">
        <v>1108</v>
      </c>
      <c r="D48" s="623">
        <v>6</v>
      </c>
      <c r="E48" s="472">
        <v>475</v>
      </c>
      <c r="F48" s="623">
        <v>39</v>
      </c>
      <c r="G48" s="472">
        <v>1266</v>
      </c>
      <c r="H48" s="472">
        <v>11271</v>
      </c>
      <c r="I48" s="472">
        <f t="shared" si="23"/>
        <v>12576</v>
      </c>
      <c r="J48" s="472">
        <v>39</v>
      </c>
      <c r="K48" s="649">
        <f t="shared" si="24"/>
        <v>3.1011450381679389E-3</v>
      </c>
      <c r="L48" s="472">
        <v>0</v>
      </c>
      <c r="M48" s="649">
        <f t="shared" si="24"/>
        <v>0</v>
      </c>
      <c r="N48" s="553">
        <v>38</v>
      </c>
      <c r="O48" s="532">
        <v>0</v>
      </c>
      <c r="P48" s="649">
        <f t="shared" si="25"/>
        <v>0</v>
      </c>
      <c r="Q48" s="472">
        <v>431</v>
      </c>
      <c r="R48" s="649">
        <f t="shared" si="26"/>
        <v>3.4271628498727738E-2</v>
      </c>
      <c r="S48" s="472">
        <v>12106</v>
      </c>
      <c r="T48" s="649">
        <f t="shared" si="27"/>
        <v>0.96262722646310428</v>
      </c>
      <c r="U48" s="472">
        <v>0</v>
      </c>
      <c r="V48" s="649">
        <f t="shared" si="28"/>
        <v>0</v>
      </c>
      <c r="W48" s="472">
        <v>0</v>
      </c>
      <c r="X48" s="649">
        <f t="shared" si="29"/>
        <v>0</v>
      </c>
      <c r="Y48" s="472">
        <v>0</v>
      </c>
      <c r="Z48" s="649">
        <f t="shared" si="30"/>
        <v>0</v>
      </c>
      <c r="AA48" s="472">
        <v>0</v>
      </c>
      <c r="AB48" s="649">
        <f t="shared" si="31"/>
        <v>0</v>
      </c>
      <c r="AC48" s="472">
        <v>0</v>
      </c>
      <c r="AD48" s="649">
        <f t="shared" si="32"/>
        <v>0</v>
      </c>
    </row>
    <row r="49" spans="1:30" ht="11.25" customHeight="1">
      <c r="A49" s="948"/>
      <c r="B49" s="518">
        <v>39</v>
      </c>
      <c r="C49" s="472" t="s">
        <v>1109</v>
      </c>
      <c r="D49" s="623">
        <v>1</v>
      </c>
      <c r="E49" s="472">
        <v>62</v>
      </c>
      <c r="F49" s="623">
        <v>865</v>
      </c>
      <c r="G49" s="472">
        <v>0</v>
      </c>
      <c r="H49" s="472">
        <v>1592</v>
      </c>
      <c r="I49" s="472">
        <f t="shared" si="23"/>
        <v>2457</v>
      </c>
      <c r="J49" s="472">
        <v>0</v>
      </c>
      <c r="K49" s="649">
        <f t="shared" si="24"/>
        <v>0</v>
      </c>
      <c r="L49" s="472">
        <v>0</v>
      </c>
      <c r="M49" s="649">
        <f t="shared" si="24"/>
        <v>0</v>
      </c>
      <c r="N49" s="518">
        <v>39</v>
      </c>
      <c r="O49" s="532">
        <v>0</v>
      </c>
      <c r="P49" s="649">
        <f t="shared" si="25"/>
        <v>0</v>
      </c>
      <c r="Q49" s="472">
        <v>865</v>
      </c>
      <c r="R49" s="649">
        <f t="shared" si="26"/>
        <v>0.35205535205535204</v>
      </c>
      <c r="S49" s="472">
        <v>1592</v>
      </c>
      <c r="T49" s="649">
        <f t="shared" si="27"/>
        <v>0.6479446479446479</v>
      </c>
      <c r="U49" s="472">
        <v>0</v>
      </c>
      <c r="V49" s="649">
        <f t="shared" si="28"/>
        <v>0</v>
      </c>
      <c r="W49" s="472">
        <v>0</v>
      </c>
      <c r="X49" s="649">
        <f t="shared" si="29"/>
        <v>0</v>
      </c>
      <c r="Y49" s="472">
        <v>0</v>
      </c>
      <c r="Z49" s="649">
        <f t="shared" si="30"/>
        <v>0</v>
      </c>
      <c r="AA49" s="472">
        <v>0</v>
      </c>
      <c r="AB49" s="649">
        <f t="shared" si="31"/>
        <v>0</v>
      </c>
      <c r="AC49" s="472">
        <v>0</v>
      </c>
      <c r="AD49" s="649">
        <f t="shared" si="32"/>
        <v>0</v>
      </c>
    </row>
    <row r="50" spans="1:30" ht="11.25" customHeight="1">
      <c r="A50" s="948"/>
      <c r="B50" s="553">
        <v>40</v>
      </c>
      <c r="C50" s="472" t="s">
        <v>1110</v>
      </c>
      <c r="D50" s="623">
        <v>2</v>
      </c>
      <c r="E50" s="472">
        <v>167</v>
      </c>
      <c r="F50" s="623">
        <v>1160</v>
      </c>
      <c r="G50" s="472">
        <v>0</v>
      </c>
      <c r="H50" s="472">
        <v>4755</v>
      </c>
      <c r="I50" s="472">
        <f t="shared" si="23"/>
        <v>5915</v>
      </c>
      <c r="J50" s="472">
        <v>0</v>
      </c>
      <c r="K50" s="649">
        <f t="shared" si="24"/>
        <v>0</v>
      </c>
      <c r="L50" s="472">
        <v>0</v>
      </c>
      <c r="M50" s="649">
        <f t="shared" si="24"/>
        <v>0</v>
      </c>
      <c r="N50" s="553">
        <v>40</v>
      </c>
      <c r="O50" s="532">
        <v>0</v>
      </c>
      <c r="P50" s="649">
        <f t="shared" si="25"/>
        <v>0</v>
      </c>
      <c r="Q50" s="472">
        <v>0</v>
      </c>
      <c r="R50" s="649">
        <f t="shared" si="26"/>
        <v>0</v>
      </c>
      <c r="S50" s="472">
        <v>5915</v>
      </c>
      <c r="T50" s="649">
        <f t="shared" si="27"/>
        <v>1</v>
      </c>
      <c r="U50" s="472">
        <v>0</v>
      </c>
      <c r="V50" s="649">
        <f t="shared" si="28"/>
        <v>0</v>
      </c>
      <c r="W50" s="472">
        <v>0</v>
      </c>
      <c r="X50" s="649">
        <f t="shared" si="29"/>
        <v>0</v>
      </c>
      <c r="Y50" s="472">
        <v>0</v>
      </c>
      <c r="Z50" s="649">
        <f t="shared" si="30"/>
        <v>0</v>
      </c>
      <c r="AA50" s="472">
        <v>0</v>
      </c>
      <c r="AB50" s="649">
        <f t="shared" si="31"/>
        <v>0</v>
      </c>
      <c r="AC50" s="472">
        <v>0</v>
      </c>
      <c r="AD50" s="649">
        <f t="shared" si="32"/>
        <v>0</v>
      </c>
    </row>
    <row r="51" spans="1:30" ht="11.25" customHeight="1">
      <c r="A51" s="948"/>
      <c r="B51" s="521">
        <v>41</v>
      </c>
      <c r="C51" s="478" t="s">
        <v>1111</v>
      </c>
      <c r="D51" s="622">
        <v>12</v>
      </c>
      <c r="E51" s="478">
        <v>322</v>
      </c>
      <c r="F51" s="622">
        <v>312</v>
      </c>
      <c r="G51" s="478">
        <v>315</v>
      </c>
      <c r="H51" s="478">
        <v>13391</v>
      </c>
      <c r="I51" s="478">
        <f t="shared" si="23"/>
        <v>14018</v>
      </c>
      <c r="J51" s="478">
        <v>0</v>
      </c>
      <c r="K51" s="644">
        <f t="shared" si="24"/>
        <v>0</v>
      </c>
      <c r="L51" s="478">
        <v>0</v>
      </c>
      <c r="M51" s="644">
        <f t="shared" si="24"/>
        <v>0</v>
      </c>
      <c r="N51" s="521">
        <v>41</v>
      </c>
      <c r="O51" s="486">
        <v>0</v>
      </c>
      <c r="P51" s="644">
        <f t="shared" si="25"/>
        <v>0</v>
      </c>
      <c r="Q51" s="478">
        <v>0</v>
      </c>
      <c r="R51" s="644">
        <f t="shared" si="26"/>
        <v>0</v>
      </c>
      <c r="S51" s="478">
        <v>14018</v>
      </c>
      <c r="T51" s="644">
        <f t="shared" si="27"/>
        <v>1</v>
      </c>
      <c r="U51" s="478">
        <v>0</v>
      </c>
      <c r="V51" s="644">
        <f t="shared" si="28"/>
        <v>0</v>
      </c>
      <c r="W51" s="478">
        <v>0</v>
      </c>
      <c r="X51" s="644">
        <f t="shared" si="29"/>
        <v>0</v>
      </c>
      <c r="Y51" s="478">
        <v>0</v>
      </c>
      <c r="Z51" s="644">
        <f t="shared" si="30"/>
        <v>0</v>
      </c>
      <c r="AA51" s="478">
        <v>0</v>
      </c>
      <c r="AB51" s="644">
        <f t="shared" si="31"/>
        <v>0</v>
      </c>
      <c r="AC51" s="478">
        <v>0</v>
      </c>
      <c r="AD51" s="644">
        <f t="shared" si="32"/>
        <v>0</v>
      </c>
    </row>
    <row r="52" spans="1:30" ht="11.25" customHeight="1" thickBot="1">
      <c r="A52" s="948"/>
      <c r="B52" s="553">
        <v>42</v>
      </c>
      <c r="C52" s="528" t="s">
        <v>1113</v>
      </c>
      <c r="D52" s="628">
        <v>4</v>
      </c>
      <c r="E52" s="528">
        <v>231</v>
      </c>
      <c r="F52" s="628">
        <v>0</v>
      </c>
      <c r="G52" s="528">
        <v>1188</v>
      </c>
      <c r="H52" s="528">
        <v>9033</v>
      </c>
      <c r="I52" s="528">
        <f t="shared" si="23"/>
        <v>10221</v>
      </c>
      <c r="J52" s="528">
        <v>0</v>
      </c>
      <c r="K52" s="656">
        <f t="shared" si="24"/>
        <v>0</v>
      </c>
      <c r="L52" s="528">
        <v>0</v>
      </c>
      <c r="M52" s="656">
        <f t="shared" si="24"/>
        <v>0</v>
      </c>
      <c r="N52" s="553">
        <v>42</v>
      </c>
      <c r="O52" s="2178">
        <v>0</v>
      </c>
      <c r="P52" s="656">
        <f t="shared" si="25"/>
        <v>0</v>
      </c>
      <c r="Q52" s="528">
        <v>0</v>
      </c>
      <c r="R52" s="656">
        <f t="shared" si="26"/>
        <v>0</v>
      </c>
      <c r="S52" s="528">
        <v>1188</v>
      </c>
      <c r="T52" s="656">
        <f t="shared" si="27"/>
        <v>0.11623128852362782</v>
      </c>
      <c r="U52" s="528">
        <v>0</v>
      </c>
      <c r="V52" s="656">
        <f t="shared" si="28"/>
        <v>0</v>
      </c>
      <c r="W52" s="528">
        <v>0</v>
      </c>
      <c r="X52" s="656">
        <f t="shared" si="29"/>
        <v>0</v>
      </c>
      <c r="Y52" s="528">
        <v>9033</v>
      </c>
      <c r="Z52" s="656">
        <f t="shared" si="30"/>
        <v>0.88376871147637215</v>
      </c>
      <c r="AA52" s="528">
        <v>0</v>
      </c>
      <c r="AB52" s="656">
        <f t="shared" si="31"/>
        <v>0</v>
      </c>
      <c r="AC52" s="528">
        <v>0</v>
      </c>
      <c r="AD52" s="656">
        <f t="shared" si="32"/>
        <v>0</v>
      </c>
    </row>
    <row r="53" spans="1:30" ht="11.25" customHeight="1" thickTop="1">
      <c r="A53" s="948"/>
      <c r="B53" s="502"/>
      <c r="C53" s="536" t="s">
        <v>34</v>
      </c>
      <c r="D53" s="650">
        <f t="shared" ref="D53:J53" si="33">SUM(D39:D52)</f>
        <v>47</v>
      </c>
      <c r="E53" s="650">
        <f t="shared" si="33"/>
        <v>4820</v>
      </c>
      <c r="F53" s="650">
        <f t="shared" si="33"/>
        <v>7376</v>
      </c>
      <c r="G53" s="650">
        <f t="shared" si="33"/>
        <v>12196</v>
      </c>
      <c r="H53" s="650">
        <f t="shared" si="33"/>
        <v>115328</v>
      </c>
      <c r="I53" s="650">
        <f t="shared" si="33"/>
        <v>134900</v>
      </c>
      <c r="J53" s="650">
        <f t="shared" si="33"/>
        <v>9184</v>
      </c>
      <c r="K53" s="651">
        <f t="shared" si="24"/>
        <v>6.8080059303187543E-2</v>
      </c>
      <c r="L53" s="650">
        <f>SUM(L39:L52)</f>
        <v>23050</v>
      </c>
      <c r="M53" s="651">
        <f t="shared" si="24"/>
        <v>0.17086730911786507</v>
      </c>
      <c r="N53" s="502"/>
      <c r="O53" s="650">
        <f>SUM(O39:O52)</f>
        <v>4626</v>
      </c>
      <c r="P53" s="651">
        <f t="shared" si="25"/>
        <v>3.4292068198665676E-2</v>
      </c>
      <c r="Q53" s="650">
        <f>SUM(Q39:Q52)</f>
        <v>1420</v>
      </c>
      <c r="R53" s="651">
        <f t="shared" si="26"/>
        <v>1.0526315789473684E-2</v>
      </c>
      <c r="S53" s="650">
        <f>SUM(S39:S52)</f>
        <v>81172</v>
      </c>
      <c r="T53" s="651">
        <f t="shared" si="27"/>
        <v>0.60171979243884355</v>
      </c>
      <c r="U53" s="650">
        <f>SUM(U39:U52)</f>
        <v>0</v>
      </c>
      <c r="V53" s="651">
        <f t="shared" si="28"/>
        <v>0</v>
      </c>
      <c r="W53" s="650">
        <f>SUM(W39:W52)</f>
        <v>0</v>
      </c>
      <c r="X53" s="651">
        <f t="shared" si="29"/>
        <v>0</v>
      </c>
      <c r="Y53" s="650">
        <f>SUM(Y39:Y52)</f>
        <v>14658</v>
      </c>
      <c r="Z53" s="651">
        <f t="shared" si="30"/>
        <v>0.10865826538176426</v>
      </c>
      <c r="AA53" s="650">
        <f>SUM(AA39:AA52)</f>
        <v>790</v>
      </c>
      <c r="AB53" s="651">
        <f t="shared" si="31"/>
        <v>5.8561897702001479E-3</v>
      </c>
      <c r="AC53" s="650">
        <f>SUM(AC39:AC52)</f>
        <v>4841</v>
      </c>
      <c r="AD53" s="651">
        <f t="shared" si="32"/>
        <v>3.5885841363973311E-2</v>
      </c>
    </row>
    <row r="54" spans="1:30" ht="11.25" customHeight="1">
      <c r="A54" s="949"/>
      <c r="B54" s="509"/>
      <c r="C54" s="537"/>
      <c r="D54" s="652"/>
      <c r="E54" s="653"/>
      <c r="F54" s="2173"/>
      <c r="G54" s="653"/>
      <c r="H54" s="653"/>
      <c r="I54" s="653"/>
      <c r="J54" s="653"/>
      <c r="K54" s="654"/>
      <c r="L54" s="653"/>
      <c r="M54" s="655"/>
      <c r="N54" s="509"/>
      <c r="O54" s="2174"/>
      <c r="P54" s="654"/>
      <c r="Q54" s="653"/>
      <c r="R54" s="654"/>
      <c r="S54" s="653"/>
      <c r="T54" s="654"/>
      <c r="U54" s="653"/>
      <c r="V54" s="654"/>
      <c r="W54" s="653"/>
      <c r="X54" s="654"/>
      <c r="Y54" s="653"/>
      <c r="Z54" s="654"/>
      <c r="AA54" s="653"/>
      <c r="AB54" s="654"/>
      <c r="AC54" s="653"/>
      <c r="AD54" s="654"/>
    </row>
    <row r="55" spans="1:30" ht="11.25" customHeight="1">
      <c r="A55" s="947" t="s">
        <v>1114</v>
      </c>
      <c r="B55" s="517">
        <v>43</v>
      </c>
      <c r="C55" s="517" t="s">
        <v>1115</v>
      </c>
      <c r="D55" s="621">
        <v>4</v>
      </c>
      <c r="E55" s="482">
        <v>138</v>
      </c>
      <c r="F55" s="621">
        <v>893</v>
      </c>
      <c r="G55" s="482">
        <v>0</v>
      </c>
      <c r="H55" s="482">
        <v>7931</v>
      </c>
      <c r="I55" s="482">
        <f t="shared" ref="I55:I74" si="34">SUM(F55:H55)</f>
        <v>8824</v>
      </c>
      <c r="J55" s="482">
        <v>893</v>
      </c>
      <c r="K55" s="643">
        <f t="shared" ref="K55:M75" si="35">J55/$I55</f>
        <v>0.10120126926563916</v>
      </c>
      <c r="L55" s="482">
        <v>1387</v>
      </c>
      <c r="M55" s="643">
        <f t="shared" si="35"/>
        <v>0.15718495013599273</v>
      </c>
      <c r="N55" s="517">
        <v>43</v>
      </c>
      <c r="O55" s="500">
        <v>0</v>
      </c>
      <c r="P55" s="643">
        <f t="shared" ref="P55:P75" si="36">O55/$I55</f>
        <v>0</v>
      </c>
      <c r="Q55" s="482">
        <v>0</v>
      </c>
      <c r="R55" s="643">
        <f t="shared" ref="R55:R75" si="37">Q55/$I55</f>
        <v>0</v>
      </c>
      <c r="S55" s="482">
        <v>6544</v>
      </c>
      <c r="T55" s="643">
        <f t="shared" ref="T55:T75" si="38">S55/$I55</f>
        <v>0.74161378059836813</v>
      </c>
      <c r="U55" s="482">
        <v>0</v>
      </c>
      <c r="V55" s="643">
        <f t="shared" ref="V55:V75" si="39">U55/$I55</f>
        <v>0</v>
      </c>
      <c r="W55" s="482">
        <v>0</v>
      </c>
      <c r="X55" s="643">
        <f t="shared" ref="X55:X75" si="40">W55/$I55</f>
        <v>0</v>
      </c>
      <c r="Y55" s="482">
        <v>0</v>
      </c>
      <c r="Z55" s="643">
        <f t="shared" ref="Z55:Z75" si="41">Y55/$I55</f>
        <v>0</v>
      </c>
      <c r="AA55" s="482">
        <v>0</v>
      </c>
      <c r="AB55" s="643">
        <f t="shared" ref="AB55:AB75" si="42">AA55/$I55</f>
        <v>0</v>
      </c>
      <c r="AC55" s="482">
        <v>0</v>
      </c>
      <c r="AD55" s="643">
        <f t="shared" ref="AD55:AD75" si="43">AC55/$I55</f>
        <v>0</v>
      </c>
    </row>
    <row r="56" spans="1:30" ht="11.25" customHeight="1">
      <c r="A56" s="948"/>
      <c r="B56" s="518">
        <v>44</v>
      </c>
      <c r="C56" s="518" t="s">
        <v>1116</v>
      </c>
      <c r="D56" s="623">
        <v>2</v>
      </c>
      <c r="E56" s="472">
        <v>69</v>
      </c>
      <c r="F56" s="623">
        <v>280</v>
      </c>
      <c r="G56" s="472">
        <v>0</v>
      </c>
      <c r="H56" s="472">
        <v>1880</v>
      </c>
      <c r="I56" s="472">
        <f t="shared" si="34"/>
        <v>2160</v>
      </c>
      <c r="J56" s="472">
        <v>0</v>
      </c>
      <c r="K56" s="649">
        <f t="shared" si="35"/>
        <v>0</v>
      </c>
      <c r="L56" s="472">
        <v>0</v>
      </c>
      <c r="M56" s="649">
        <f t="shared" si="35"/>
        <v>0</v>
      </c>
      <c r="N56" s="518">
        <v>44</v>
      </c>
      <c r="O56" s="532">
        <v>0</v>
      </c>
      <c r="P56" s="649">
        <f t="shared" si="36"/>
        <v>0</v>
      </c>
      <c r="Q56" s="472">
        <v>0</v>
      </c>
      <c r="R56" s="649">
        <f t="shared" si="37"/>
        <v>0</v>
      </c>
      <c r="S56" s="472">
        <v>2160</v>
      </c>
      <c r="T56" s="649">
        <f t="shared" si="38"/>
        <v>1</v>
      </c>
      <c r="U56" s="472">
        <v>0</v>
      </c>
      <c r="V56" s="649">
        <f t="shared" si="39"/>
        <v>0</v>
      </c>
      <c r="W56" s="472">
        <v>0</v>
      </c>
      <c r="X56" s="649">
        <f t="shared" si="40"/>
        <v>0</v>
      </c>
      <c r="Y56" s="472">
        <v>0</v>
      </c>
      <c r="Z56" s="649">
        <f t="shared" si="41"/>
        <v>0</v>
      </c>
      <c r="AA56" s="472">
        <v>0</v>
      </c>
      <c r="AB56" s="649">
        <f t="shared" si="42"/>
        <v>0</v>
      </c>
      <c r="AC56" s="472">
        <v>0</v>
      </c>
      <c r="AD56" s="649">
        <f t="shared" si="43"/>
        <v>0</v>
      </c>
    </row>
    <row r="57" spans="1:30" ht="11.25" customHeight="1">
      <c r="A57" s="948"/>
      <c r="B57" s="517">
        <v>45</v>
      </c>
      <c r="C57" s="518" t="s">
        <v>1117</v>
      </c>
      <c r="D57" s="623">
        <v>4</v>
      </c>
      <c r="E57" s="472">
        <v>138</v>
      </c>
      <c r="F57" s="623">
        <v>2500</v>
      </c>
      <c r="G57" s="472">
        <v>0</v>
      </c>
      <c r="H57" s="472">
        <v>2000</v>
      </c>
      <c r="I57" s="472">
        <f t="shared" si="34"/>
        <v>4500</v>
      </c>
      <c r="J57" s="472">
        <v>0</v>
      </c>
      <c r="K57" s="649">
        <f t="shared" si="35"/>
        <v>0</v>
      </c>
      <c r="L57" s="472">
        <v>0</v>
      </c>
      <c r="M57" s="649">
        <f t="shared" si="35"/>
        <v>0</v>
      </c>
      <c r="N57" s="517">
        <v>45</v>
      </c>
      <c r="O57" s="532">
        <v>0</v>
      </c>
      <c r="P57" s="649">
        <f t="shared" si="36"/>
        <v>0</v>
      </c>
      <c r="Q57" s="472">
        <v>0</v>
      </c>
      <c r="R57" s="649">
        <f t="shared" si="37"/>
        <v>0</v>
      </c>
      <c r="S57" s="472">
        <v>4500</v>
      </c>
      <c r="T57" s="649">
        <f t="shared" si="38"/>
        <v>1</v>
      </c>
      <c r="U57" s="472">
        <v>0</v>
      </c>
      <c r="V57" s="649">
        <f t="shared" si="39"/>
        <v>0</v>
      </c>
      <c r="W57" s="472">
        <v>0</v>
      </c>
      <c r="X57" s="649">
        <f t="shared" si="40"/>
        <v>0</v>
      </c>
      <c r="Y57" s="472">
        <v>0</v>
      </c>
      <c r="Z57" s="649">
        <f t="shared" si="41"/>
        <v>0</v>
      </c>
      <c r="AA57" s="472">
        <v>0</v>
      </c>
      <c r="AB57" s="649">
        <f t="shared" si="42"/>
        <v>0</v>
      </c>
      <c r="AC57" s="472">
        <v>0</v>
      </c>
      <c r="AD57" s="649">
        <f t="shared" si="43"/>
        <v>0</v>
      </c>
    </row>
    <row r="58" spans="1:30" ht="11.25" customHeight="1">
      <c r="A58" s="948"/>
      <c r="B58" s="518">
        <v>46</v>
      </c>
      <c r="C58" s="518" t="s">
        <v>1118</v>
      </c>
      <c r="D58" s="623">
        <v>16</v>
      </c>
      <c r="E58" s="472">
        <v>1602</v>
      </c>
      <c r="F58" s="623">
        <v>13417</v>
      </c>
      <c r="G58" s="472">
        <v>0</v>
      </c>
      <c r="H58" s="472">
        <v>44879</v>
      </c>
      <c r="I58" s="472">
        <f t="shared" si="34"/>
        <v>58296</v>
      </c>
      <c r="J58" s="472">
        <v>0</v>
      </c>
      <c r="K58" s="649">
        <f t="shared" si="35"/>
        <v>0</v>
      </c>
      <c r="L58" s="472">
        <v>0</v>
      </c>
      <c r="M58" s="649">
        <f t="shared" si="35"/>
        <v>0</v>
      </c>
      <c r="N58" s="518">
        <v>46</v>
      </c>
      <c r="O58" s="532">
        <v>2288</v>
      </c>
      <c r="P58" s="649">
        <f t="shared" si="36"/>
        <v>3.9247975847399481E-2</v>
      </c>
      <c r="Q58" s="472">
        <v>308</v>
      </c>
      <c r="R58" s="649">
        <f t="shared" si="37"/>
        <v>5.2833813640730063E-3</v>
      </c>
      <c r="S58" s="472">
        <v>50891</v>
      </c>
      <c r="T58" s="649">
        <f t="shared" si="38"/>
        <v>0.87297584739947853</v>
      </c>
      <c r="U58" s="472">
        <v>0</v>
      </c>
      <c r="V58" s="649">
        <f t="shared" si="39"/>
        <v>0</v>
      </c>
      <c r="W58" s="472">
        <v>0</v>
      </c>
      <c r="X58" s="649">
        <f t="shared" si="40"/>
        <v>0</v>
      </c>
      <c r="Y58" s="472">
        <v>4809</v>
      </c>
      <c r="Z58" s="649">
        <f t="shared" si="41"/>
        <v>8.2492795389048995E-2</v>
      </c>
      <c r="AA58" s="472">
        <v>0</v>
      </c>
      <c r="AB58" s="649">
        <f t="shared" si="42"/>
        <v>0</v>
      </c>
      <c r="AC58" s="472">
        <v>0</v>
      </c>
      <c r="AD58" s="649">
        <f t="shared" si="43"/>
        <v>0</v>
      </c>
    </row>
    <row r="59" spans="1:30" ht="11.25" customHeight="1">
      <c r="A59" s="948"/>
      <c r="B59" s="517">
        <v>47</v>
      </c>
      <c r="C59" s="518" t="s">
        <v>1119</v>
      </c>
      <c r="D59" s="623">
        <v>6</v>
      </c>
      <c r="E59" s="472">
        <v>395</v>
      </c>
      <c r="F59" s="623">
        <v>2178</v>
      </c>
      <c r="G59" s="472">
        <v>1503</v>
      </c>
      <c r="H59" s="472">
        <v>10528</v>
      </c>
      <c r="I59" s="472">
        <f t="shared" si="34"/>
        <v>14209</v>
      </c>
      <c r="J59" s="472">
        <v>0</v>
      </c>
      <c r="K59" s="649">
        <f t="shared" si="35"/>
        <v>0</v>
      </c>
      <c r="L59" s="472">
        <v>0</v>
      </c>
      <c r="M59" s="649">
        <f t="shared" si="35"/>
        <v>0</v>
      </c>
      <c r="N59" s="517">
        <v>47</v>
      </c>
      <c r="O59" s="532">
        <v>0</v>
      </c>
      <c r="P59" s="649">
        <f t="shared" si="36"/>
        <v>0</v>
      </c>
      <c r="Q59" s="472">
        <v>0</v>
      </c>
      <c r="R59" s="649">
        <f t="shared" si="37"/>
        <v>0</v>
      </c>
      <c r="S59" s="472">
        <v>12031</v>
      </c>
      <c r="T59" s="649">
        <f t="shared" si="38"/>
        <v>0.84671686958969672</v>
      </c>
      <c r="U59" s="472">
        <v>0</v>
      </c>
      <c r="V59" s="649">
        <f t="shared" si="39"/>
        <v>0</v>
      </c>
      <c r="W59" s="472">
        <v>0</v>
      </c>
      <c r="X59" s="649">
        <f t="shared" si="40"/>
        <v>0</v>
      </c>
      <c r="Y59" s="472">
        <v>2178</v>
      </c>
      <c r="Z59" s="649">
        <f t="shared" si="41"/>
        <v>0.15328313041030334</v>
      </c>
      <c r="AA59" s="472">
        <v>0</v>
      </c>
      <c r="AB59" s="649">
        <f t="shared" si="42"/>
        <v>0</v>
      </c>
      <c r="AC59" s="472">
        <v>2178</v>
      </c>
      <c r="AD59" s="649">
        <f t="shared" si="43"/>
        <v>0.15328313041030334</v>
      </c>
    </row>
    <row r="60" spans="1:30" ht="11.25" customHeight="1">
      <c r="A60" s="948"/>
      <c r="B60" s="518">
        <v>48</v>
      </c>
      <c r="C60" s="518" t="s">
        <v>1120</v>
      </c>
      <c r="D60" s="623">
        <v>8</v>
      </c>
      <c r="E60" s="472">
        <v>453</v>
      </c>
      <c r="F60" s="623">
        <v>1422</v>
      </c>
      <c r="G60" s="472">
        <v>2709</v>
      </c>
      <c r="H60" s="472">
        <v>11628</v>
      </c>
      <c r="I60" s="472">
        <f t="shared" si="34"/>
        <v>15759</v>
      </c>
      <c r="J60" s="472">
        <v>0</v>
      </c>
      <c r="K60" s="649">
        <f t="shared" si="35"/>
        <v>0</v>
      </c>
      <c r="L60" s="472">
        <v>236</v>
      </c>
      <c r="M60" s="649">
        <f t="shared" si="35"/>
        <v>1.4975569515832223E-2</v>
      </c>
      <c r="N60" s="518">
        <v>48</v>
      </c>
      <c r="O60" s="532">
        <v>0</v>
      </c>
      <c r="P60" s="649">
        <f t="shared" si="36"/>
        <v>0</v>
      </c>
      <c r="Q60" s="472">
        <v>0</v>
      </c>
      <c r="R60" s="649">
        <f t="shared" si="37"/>
        <v>0</v>
      </c>
      <c r="S60" s="472">
        <v>12610</v>
      </c>
      <c r="T60" s="649">
        <f t="shared" si="38"/>
        <v>0.8001776762484929</v>
      </c>
      <c r="U60" s="472">
        <v>0</v>
      </c>
      <c r="V60" s="649">
        <f t="shared" si="39"/>
        <v>0</v>
      </c>
      <c r="W60" s="472">
        <v>0</v>
      </c>
      <c r="X60" s="649">
        <f t="shared" si="40"/>
        <v>0</v>
      </c>
      <c r="Y60" s="472">
        <v>2913</v>
      </c>
      <c r="Z60" s="649">
        <f t="shared" si="41"/>
        <v>0.18484675423567484</v>
      </c>
      <c r="AA60" s="472">
        <v>0</v>
      </c>
      <c r="AB60" s="649">
        <f t="shared" si="42"/>
        <v>0</v>
      </c>
      <c r="AC60" s="472">
        <v>2913</v>
      </c>
      <c r="AD60" s="649">
        <f t="shared" si="43"/>
        <v>0.18484675423567484</v>
      </c>
    </row>
    <row r="61" spans="1:30" ht="11.25" customHeight="1">
      <c r="A61" s="948"/>
      <c r="B61" s="517">
        <v>49</v>
      </c>
      <c r="C61" s="518" t="s">
        <v>1121</v>
      </c>
      <c r="D61" s="623">
        <v>1</v>
      </c>
      <c r="E61" s="472">
        <v>53</v>
      </c>
      <c r="F61" s="623">
        <v>1340</v>
      </c>
      <c r="G61" s="472">
        <v>0</v>
      </c>
      <c r="H61" s="472">
        <v>2068</v>
      </c>
      <c r="I61" s="472">
        <f t="shared" si="34"/>
        <v>3408</v>
      </c>
      <c r="J61" s="472">
        <v>0</v>
      </c>
      <c r="K61" s="649">
        <f t="shared" si="35"/>
        <v>0</v>
      </c>
      <c r="L61" s="472">
        <v>0</v>
      </c>
      <c r="M61" s="649">
        <f t="shared" si="35"/>
        <v>0</v>
      </c>
      <c r="N61" s="517">
        <v>49</v>
      </c>
      <c r="O61" s="532">
        <v>0</v>
      </c>
      <c r="P61" s="649">
        <f t="shared" si="36"/>
        <v>0</v>
      </c>
      <c r="Q61" s="472">
        <v>0</v>
      </c>
      <c r="R61" s="649">
        <f t="shared" si="37"/>
        <v>0</v>
      </c>
      <c r="S61" s="472">
        <v>3408</v>
      </c>
      <c r="T61" s="649">
        <f t="shared" si="38"/>
        <v>1</v>
      </c>
      <c r="U61" s="472">
        <v>0</v>
      </c>
      <c r="V61" s="649">
        <f t="shared" si="39"/>
        <v>0</v>
      </c>
      <c r="W61" s="472">
        <v>0</v>
      </c>
      <c r="X61" s="649">
        <f t="shared" si="40"/>
        <v>0</v>
      </c>
      <c r="Y61" s="472">
        <v>0</v>
      </c>
      <c r="Z61" s="649">
        <f t="shared" si="41"/>
        <v>0</v>
      </c>
      <c r="AA61" s="472">
        <v>0</v>
      </c>
      <c r="AB61" s="649">
        <f t="shared" si="42"/>
        <v>0</v>
      </c>
      <c r="AC61" s="472">
        <v>0</v>
      </c>
      <c r="AD61" s="649">
        <f t="shared" si="43"/>
        <v>0</v>
      </c>
    </row>
    <row r="62" spans="1:30" ht="11.25" customHeight="1">
      <c r="A62" s="948"/>
      <c r="B62" s="518">
        <v>50</v>
      </c>
      <c r="C62" s="518" t="s">
        <v>1122</v>
      </c>
      <c r="D62" s="623">
        <v>3</v>
      </c>
      <c r="E62" s="472">
        <v>263</v>
      </c>
      <c r="F62" s="623">
        <v>2298</v>
      </c>
      <c r="G62" s="472">
        <v>1941</v>
      </c>
      <c r="H62" s="472">
        <v>5258</v>
      </c>
      <c r="I62" s="472">
        <f t="shared" si="34"/>
        <v>9497</v>
      </c>
      <c r="J62" s="472">
        <v>1091</v>
      </c>
      <c r="K62" s="649">
        <f t="shared" si="35"/>
        <v>0.11487838264715174</v>
      </c>
      <c r="L62" s="472">
        <v>2358</v>
      </c>
      <c r="M62" s="649">
        <f t="shared" si="35"/>
        <v>0.24828893334737284</v>
      </c>
      <c r="N62" s="518">
        <v>50</v>
      </c>
      <c r="O62" s="532">
        <v>828</v>
      </c>
      <c r="P62" s="649">
        <f t="shared" si="36"/>
        <v>8.7185426976940081E-2</v>
      </c>
      <c r="Q62" s="472">
        <v>0</v>
      </c>
      <c r="R62" s="649">
        <f t="shared" si="37"/>
        <v>0</v>
      </c>
      <c r="S62" s="472">
        <v>5220</v>
      </c>
      <c r="T62" s="649">
        <f t="shared" si="38"/>
        <v>0.54964725702853534</v>
      </c>
      <c r="U62" s="472">
        <v>0</v>
      </c>
      <c r="V62" s="649">
        <f t="shared" si="39"/>
        <v>0</v>
      </c>
      <c r="W62" s="472">
        <v>0</v>
      </c>
      <c r="X62" s="649">
        <f t="shared" si="40"/>
        <v>0</v>
      </c>
      <c r="Y62" s="472">
        <v>0</v>
      </c>
      <c r="Z62" s="649">
        <f t="shared" si="41"/>
        <v>0</v>
      </c>
      <c r="AA62" s="472">
        <v>0</v>
      </c>
      <c r="AB62" s="649">
        <f t="shared" si="42"/>
        <v>0</v>
      </c>
      <c r="AC62" s="472">
        <v>0</v>
      </c>
      <c r="AD62" s="649">
        <f t="shared" si="43"/>
        <v>0</v>
      </c>
    </row>
    <row r="63" spans="1:30" ht="11.25" customHeight="1">
      <c r="A63" s="948"/>
      <c r="B63" s="521">
        <v>51</v>
      </c>
      <c r="C63" s="521" t="s">
        <v>1123</v>
      </c>
      <c r="D63" s="622">
        <v>2</v>
      </c>
      <c r="E63" s="478">
        <v>212</v>
      </c>
      <c r="F63" s="622">
        <v>224</v>
      </c>
      <c r="G63" s="478">
        <v>0</v>
      </c>
      <c r="H63" s="478">
        <v>4896</v>
      </c>
      <c r="I63" s="478">
        <f t="shared" si="34"/>
        <v>5120</v>
      </c>
      <c r="J63" s="478">
        <v>0</v>
      </c>
      <c r="K63" s="644">
        <f t="shared" si="35"/>
        <v>0</v>
      </c>
      <c r="L63" s="478">
        <v>1192</v>
      </c>
      <c r="M63" s="644">
        <f t="shared" si="35"/>
        <v>0.23281250000000001</v>
      </c>
      <c r="N63" s="521">
        <v>51</v>
      </c>
      <c r="O63" s="486">
        <v>0</v>
      </c>
      <c r="P63" s="644">
        <f t="shared" si="36"/>
        <v>0</v>
      </c>
      <c r="Q63" s="478">
        <v>0</v>
      </c>
      <c r="R63" s="644">
        <f t="shared" si="37"/>
        <v>0</v>
      </c>
      <c r="S63" s="478">
        <v>3376</v>
      </c>
      <c r="T63" s="644">
        <f t="shared" si="38"/>
        <v>0.65937500000000004</v>
      </c>
      <c r="U63" s="478">
        <v>0</v>
      </c>
      <c r="V63" s="644">
        <f t="shared" si="39"/>
        <v>0</v>
      </c>
      <c r="W63" s="478">
        <v>0</v>
      </c>
      <c r="X63" s="644">
        <f t="shared" si="40"/>
        <v>0</v>
      </c>
      <c r="Y63" s="478">
        <v>552</v>
      </c>
      <c r="Z63" s="644">
        <f t="shared" si="41"/>
        <v>0.10781250000000001</v>
      </c>
      <c r="AA63" s="478">
        <v>0</v>
      </c>
      <c r="AB63" s="644">
        <f t="shared" si="42"/>
        <v>0</v>
      </c>
      <c r="AC63" s="478">
        <v>552</v>
      </c>
      <c r="AD63" s="644">
        <f t="shared" si="43"/>
        <v>0.10781250000000001</v>
      </c>
    </row>
    <row r="64" spans="1:30" ht="11.25" customHeight="1">
      <c r="A64" s="948"/>
      <c r="B64" s="517">
        <v>52</v>
      </c>
      <c r="C64" s="517" t="s">
        <v>1124</v>
      </c>
      <c r="D64" s="621">
        <v>1</v>
      </c>
      <c r="E64" s="482">
        <v>61</v>
      </c>
      <c r="F64" s="621">
        <v>547</v>
      </c>
      <c r="G64" s="482">
        <v>0</v>
      </c>
      <c r="H64" s="482">
        <v>1944</v>
      </c>
      <c r="I64" s="482">
        <f t="shared" si="34"/>
        <v>2491</v>
      </c>
      <c r="J64" s="482">
        <v>0</v>
      </c>
      <c r="K64" s="643">
        <f t="shared" si="35"/>
        <v>0</v>
      </c>
      <c r="L64" s="482">
        <v>1695</v>
      </c>
      <c r="M64" s="643">
        <f t="shared" si="35"/>
        <v>0.68044961862705744</v>
      </c>
      <c r="N64" s="517">
        <v>52</v>
      </c>
      <c r="O64" s="500">
        <v>0</v>
      </c>
      <c r="P64" s="643">
        <f t="shared" si="36"/>
        <v>0</v>
      </c>
      <c r="Q64" s="482">
        <v>0</v>
      </c>
      <c r="R64" s="643">
        <f t="shared" si="37"/>
        <v>0</v>
      </c>
      <c r="S64" s="482">
        <v>532</v>
      </c>
      <c r="T64" s="643">
        <f t="shared" si="38"/>
        <v>0.21356884785226818</v>
      </c>
      <c r="U64" s="482">
        <v>0</v>
      </c>
      <c r="V64" s="643">
        <f t="shared" si="39"/>
        <v>0</v>
      </c>
      <c r="W64" s="482">
        <v>0</v>
      </c>
      <c r="X64" s="643">
        <f t="shared" si="40"/>
        <v>0</v>
      </c>
      <c r="Y64" s="482">
        <v>264</v>
      </c>
      <c r="Z64" s="643">
        <f t="shared" si="41"/>
        <v>0.10598153352067442</v>
      </c>
      <c r="AA64" s="482">
        <v>0</v>
      </c>
      <c r="AB64" s="643">
        <f t="shared" si="42"/>
        <v>0</v>
      </c>
      <c r="AC64" s="482">
        <v>264</v>
      </c>
      <c r="AD64" s="643">
        <f t="shared" si="43"/>
        <v>0.10598153352067442</v>
      </c>
    </row>
    <row r="65" spans="1:30" ht="11.25" customHeight="1">
      <c r="A65" s="948"/>
      <c r="B65" s="517">
        <v>53</v>
      </c>
      <c r="C65" s="518" t="s">
        <v>1125</v>
      </c>
      <c r="D65" s="623">
        <v>1</v>
      </c>
      <c r="E65" s="472">
        <v>35</v>
      </c>
      <c r="F65" s="623">
        <v>783.6</v>
      </c>
      <c r="G65" s="472">
        <v>0</v>
      </c>
      <c r="H65" s="472">
        <v>1651.7</v>
      </c>
      <c r="I65" s="472">
        <f t="shared" si="34"/>
        <v>2435.3000000000002</v>
      </c>
      <c r="J65" s="472">
        <v>0</v>
      </c>
      <c r="K65" s="649">
        <f t="shared" si="35"/>
        <v>0</v>
      </c>
      <c r="L65" s="472">
        <v>23</v>
      </c>
      <c r="M65" s="649">
        <f t="shared" si="35"/>
        <v>9.4444216318318071E-3</v>
      </c>
      <c r="N65" s="517">
        <v>53</v>
      </c>
      <c r="O65" s="532">
        <v>13.9</v>
      </c>
      <c r="P65" s="649">
        <f t="shared" si="36"/>
        <v>5.7077156818461788E-3</v>
      </c>
      <c r="Q65" s="472">
        <v>0</v>
      </c>
      <c r="R65" s="649">
        <f t="shared" si="37"/>
        <v>0</v>
      </c>
      <c r="S65" s="472">
        <v>2398.4</v>
      </c>
      <c r="T65" s="649">
        <f t="shared" si="38"/>
        <v>0.98484786268632196</v>
      </c>
      <c r="U65" s="472">
        <v>0</v>
      </c>
      <c r="V65" s="649">
        <f t="shared" si="39"/>
        <v>0</v>
      </c>
      <c r="W65" s="472">
        <v>0</v>
      </c>
      <c r="X65" s="649">
        <f t="shared" si="40"/>
        <v>0</v>
      </c>
      <c r="Y65" s="472">
        <v>0</v>
      </c>
      <c r="Z65" s="649">
        <f t="shared" si="41"/>
        <v>0</v>
      </c>
      <c r="AA65" s="472">
        <v>0</v>
      </c>
      <c r="AB65" s="649">
        <f t="shared" si="42"/>
        <v>0</v>
      </c>
      <c r="AC65" s="472">
        <v>0</v>
      </c>
      <c r="AD65" s="649">
        <f t="shared" si="43"/>
        <v>0</v>
      </c>
    </row>
    <row r="66" spans="1:30" ht="11.25" customHeight="1">
      <c r="A66" s="948"/>
      <c r="B66" s="518">
        <v>54</v>
      </c>
      <c r="C66" s="518" t="s">
        <v>1126</v>
      </c>
      <c r="D66" s="623">
        <v>3</v>
      </c>
      <c r="E66" s="472">
        <v>54</v>
      </c>
      <c r="F66" s="623">
        <v>3800.8</v>
      </c>
      <c r="G66" s="472">
        <v>0</v>
      </c>
      <c r="H66" s="472">
        <v>4361.8500000000004</v>
      </c>
      <c r="I66" s="472">
        <f t="shared" si="34"/>
        <v>8162.6500000000005</v>
      </c>
      <c r="J66" s="472">
        <v>0</v>
      </c>
      <c r="K66" s="649">
        <f t="shared" si="35"/>
        <v>0</v>
      </c>
      <c r="L66" s="472">
        <v>1276</v>
      </c>
      <c r="M66" s="649">
        <f t="shared" si="35"/>
        <v>0.15632178275437511</v>
      </c>
      <c r="N66" s="518">
        <v>54</v>
      </c>
      <c r="O66" s="532">
        <v>125.7</v>
      </c>
      <c r="P66" s="649">
        <f t="shared" si="36"/>
        <v>1.5399410730583818E-2</v>
      </c>
      <c r="Q66" s="472">
        <v>0</v>
      </c>
      <c r="R66" s="649">
        <f t="shared" si="37"/>
        <v>0</v>
      </c>
      <c r="S66" s="472">
        <v>5228.1499999999996</v>
      </c>
      <c r="T66" s="649">
        <f t="shared" si="38"/>
        <v>0.64049665243517717</v>
      </c>
      <c r="U66" s="472">
        <v>0</v>
      </c>
      <c r="V66" s="649">
        <f t="shared" si="39"/>
        <v>0</v>
      </c>
      <c r="W66" s="472">
        <v>0</v>
      </c>
      <c r="X66" s="649">
        <f t="shared" si="40"/>
        <v>0</v>
      </c>
      <c r="Y66" s="472">
        <v>1525.3</v>
      </c>
      <c r="Z66" s="649">
        <f t="shared" si="41"/>
        <v>0.18686333482386233</v>
      </c>
      <c r="AA66" s="472">
        <v>7.5</v>
      </c>
      <c r="AB66" s="649">
        <f t="shared" si="42"/>
        <v>9.188192560014211E-4</v>
      </c>
      <c r="AC66" s="472">
        <v>0</v>
      </c>
      <c r="AD66" s="649">
        <f t="shared" si="43"/>
        <v>0</v>
      </c>
    </row>
    <row r="67" spans="1:30" ht="11.25" customHeight="1">
      <c r="A67" s="948"/>
      <c r="B67" s="517">
        <v>55</v>
      </c>
      <c r="C67" s="518" t="s">
        <v>1127</v>
      </c>
      <c r="D67" s="623">
        <v>1</v>
      </c>
      <c r="E67" s="472">
        <v>20</v>
      </c>
      <c r="F67" s="623">
        <v>165</v>
      </c>
      <c r="G67" s="472">
        <v>0</v>
      </c>
      <c r="H67" s="472">
        <v>2103.9</v>
      </c>
      <c r="I67" s="472">
        <f t="shared" si="34"/>
        <v>2268.9</v>
      </c>
      <c r="J67" s="472">
        <v>0</v>
      </c>
      <c r="K67" s="649">
        <f t="shared" si="35"/>
        <v>0</v>
      </c>
      <c r="L67" s="472">
        <v>1144</v>
      </c>
      <c r="M67" s="649">
        <f t="shared" si="35"/>
        <v>0.50420908810436771</v>
      </c>
      <c r="N67" s="517">
        <v>55</v>
      </c>
      <c r="O67" s="532">
        <v>0</v>
      </c>
      <c r="P67" s="649">
        <f t="shared" si="36"/>
        <v>0</v>
      </c>
      <c r="Q67" s="472">
        <v>327.8</v>
      </c>
      <c r="R67" s="649">
        <f t="shared" si="37"/>
        <v>0.14447529639913614</v>
      </c>
      <c r="S67" s="472">
        <v>797.1</v>
      </c>
      <c r="T67" s="649">
        <f t="shared" si="38"/>
        <v>0.35131561549649609</v>
      </c>
      <c r="U67" s="472">
        <v>0</v>
      </c>
      <c r="V67" s="649">
        <f t="shared" si="39"/>
        <v>0</v>
      </c>
      <c r="W67" s="472">
        <v>0</v>
      </c>
      <c r="X67" s="649">
        <f t="shared" si="40"/>
        <v>0</v>
      </c>
      <c r="Y67" s="472">
        <v>0</v>
      </c>
      <c r="Z67" s="649">
        <f t="shared" si="41"/>
        <v>0</v>
      </c>
      <c r="AA67" s="472">
        <v>0</v>
      </c>
      <c r="AB67" s="649">
        <f t="shared" si="42"/>
        <v>0</v>
      </c>
      <c r="AC67" s="472">
        <v>0</v>
      </c>
      <c r="AD67" s="649">
        <f t="shared" si="43"/>
        <v>0</v>
      </c>
    </row>
    <row r="68" spans="1:30" ht="11.25" customHeight="1">
      <c r="A68" s="948"/>
      <c r="B68" s="518">
        <v>56</v>
      </c>
      <c r="C68" s="518" t="s">
        <v>1128</v>
      </c>
      <c r="D68" s="623">
        <v>1</v>
      </c>
      <c r="E68" s="472">
        <v>18</v>
      </c>
      <c r="F68" s="623">
        <v>0</v>
      </c>
      <c r="G68" s="472">
        <v>0</v>
      </c>
      <c r="H68" s="472">
        <v>1650</v>
      </c>
      <c r="I68" s="472">
        <f t="shared" si="34"/>
        <v>1650</v>
      </c>
      <c r="J68" s="472">
        <v>0</v>
      </c>
      <c r="K68" s="649">
        <f t="shared" si="35"/>
        <v>0</v>
      </c>
      <c r="L68" s="472">
        <v>1165</v>
      </c>
      <c r="M68" s="649">
        <f t="shared" si="35"/>
        <v>0.70606060606060606</v>
      </c>
      <c r="N68" s="518">
        <v>56</v>
      </c>
      <c r="O68" s="532">
        <v>30</v>
      </c>
      <c r="P68" s="649">
        <f t="shared" si="36"/>
        <v>1.8181818181818181E-2</v>
      </c>
      <c r="Q68" s="472">
        <v>0</v>
      </c>
      <c r="R68" s="649">
        <f t="shared" si="37"/>
        <v>0</v>
      </c>
      <c r="S68" s="472">
        <v>290</v>
      </c>
      <c r="T68" s="649">
        <f t="shared" si="38"/>
        <v>0.17575757575757575</v>
      </c>
      <c r="U68" s="472">
        <v>0</v>
      </c>
      <c r="V68" s="649">
        <f t="shared" si="39"/>
        <v>0</v>
      </c>
      <c r="W68" s="472">
        <v>0</v>
      </c>
      <c r="X68" s="649">
        <f t="shared" si="40"/>
        <v>0</v>
      </c>
      <c r="Y68" s="472">
        <v>165</v>
      </c>
      <c r="Z68" s="649">
        <f t="shared" si="41"/>
        <v>0.1</v>
      </c>
      <c r="AA68" s="472">
        <v>0</v>
      </c>
      <c r="AB68" s="649">
        <f t="shared" si="42"/>
        <v>0</v>
      </c>
      <c r="AC68" s="472">
        <v>0</v>
      </c>
      <c r="AD68" s="649">
        <f t="shared" si="43"/>
        <v>0</v>
      </c>
    </row>
    <row r="69" spans="1:30" ht="11.25" customHeight="1">
      <c r="A69" s="948"/>
      <c r="B69" s="517">
        <v>57</v>
      </c>
      <c r="C69" s="518" t="s">
        <v>1129</v>
      </c>
      <c r="D69" s="623">
        <v>2</v>
      </c>
      <c r="E69" s="472">
        <v>46</v>
      </c>
      <c r="F69" s="623">
        <v>510.4</v>
      </c>
      <c r="G69" s="472">
        <v>0</v>
      </c>
      <c r="H69" s="472">
        <v>2191.3000000000002</v>
      </c>
      <c r="I69" s="472">
        <f t="shared" si="34"/>
        <v>2701.7000000000003</v>
      </c>
      <c r="J69" s="472">
        <v>0</v>
      </c>
      <c r="K69" s="649">
        <f t="shared" si="35"/>
        <v>0</v>
      </c>
      <c r="L69" s="472">
        <v>0</v>
      </c>
      <c r="M69" s="649">
        <f t="shared" si="35"/>
        <v>0</v>
      </c>
      <c r="N69" s="517">
        <v>57</v>
      </c>
      <c r="O69" s="532">
        <v>93.5</v>
      </c>
      <c r="P69" s="649">
        <f t="shared" si="36"/>
        <v>3.4607839508457632E-2</v>
      </c>
      <c r="Q69" s="472">
        <v>0</v>
      </c>
      <c r="R69" s="649">
        <f t="shared" si="37"/>
        <v>0</v>
      </c>
      <c r="S69" s="472">
        <v>1413</v>
      </c>
      <c r="T69" s="649">
        <f t="shared" si="38"/>
        <v>0.52300403449679822</v>
      </c>
      <c r="U69" s="472">
        <v>0</v>
      </c>
      <c r="V69" s="649">
        <f t="shared" si="39"/>
        <v>0</v>
      </c>
      <c r="W69" s="472">
        <v>0</v>
      </c>
      <c r="X69" s="649">
        <f t="shared" si="40"/>
        <v>0</v>
      </c>
      <c r="Y69" s="472">
        <v>1195.1999999999998</v>
      </c>
      <c r="Z69" s="649">
        <f t="shared" si="41"/>
        <v>0.44238812599474392</v>
      </c>
      <c r="AA69" s="472">
        <v>0</v>
      </c>
      <c r="AB69" s="649">
        <f t="shared" si="42"/>
        <v>0</v>
      </c>
      <c r="AC69" s="472">
        <v>752</v>
      </c>
      <c r="AD69" s="649">
        <f t="shared" si="43"/>
        <v>0.27834326535144538</v>
      </c>
    </row>
    <row r="70" spans="1:30" ht="11.25" customHeight="1">
      <c r="A70" s="948"/>
      <c r="B70" s="517">
        <v>58</v>
      </c>
      <c r="C70" s="517" t="s">
        <v>1130</v>
      </c>
      <c r="D70" s="621">
        <v>1</v>
      </c>
      <c r="E70" s="482">
        <v>400</v>
      </c>
      <c r="F70" s="621">
        <v>4500</v>
      </c>
      <c r="G70" s="482">
        <v>100</v>
      </c>
      <c r="H70" s="482">
        <v>10150</v>
      </c>
      <c r="I70" s="482">
        <f t="shared" si="34"/>
        <v>14750</v>
      </c>
      <c r="J70" s="482">
        <v>500</v>
      </c>
      <c r="K70" s="643">
        <f t="shared" si="35"/>
        <v>3.3898305084745763E-2</v>
      </c>
      <c r="L70" s="482">
        <v>0</v>
      </c>
      <c r="M70" s="643">
        <f t="shared" si="35"/>
        <v>0</v>
      </c>
      <c r="N70" s="517">
        <v>58</v>
      </c>
      <c r="O70" s="500">
        <v>100</v>
      </c>
      <c r="P70" s="643">
        <f t="shared" si="36"/>
        <v>6.7796610169491523E-3</v>
      </c>
      <c r="Q70" s="482">
        <v>1900</v>
      </c>
      <c r="R70" s="643">
        <f t="shared" si="37"/>
        <v>0.12881355932203389</v>
      </c>
      <c r="S70" s="482">
        <v>12250</v>
      </c>
      <c r="T70" s="643">
        <f t="shared" si="38"/>
        <v>0.83050847457627119</v>
      </c>
      <c r="U70" s="482">
        <v>0</v>
      </c>
      <c r="V70" s="643">
        <f t="shared" si="39"/>
        <v>0</v>
      </c>
      <c r="W70" s="482">
        <v>0</v>
      </c>
      <c r="X70" s="643">
        <f t="shared" si="40"/>
        <v>0</v>
      </c>
      <c r="Y70" s="482">
        <v>0</v>
      </c>
      <c r="Z70" s="643">
        <f t="shared" si="41"/>
        <v>0</v>
      </c>
      <c r="AA70" s="482">
        <v>0</v>
      </c>
      <c r="AB70" s="643">
        <f t="shared" si="42"/>
        <v>0</v>
      </c>
      <c r="AC70" s="482">
        <v>0</v>
      </c>
      <c r="AD70" s="643">
        <f t="shared" si="43"/>
        <v>0</v>
      </c>
    </row>
    <row r="71" spans="1:30" ht="11.25" customHeight="1">
      <c r="A71" s="948"/>
      <c r="B71" s="518">
        <v>59</v>
      </c>
      <c r="C71" s="518" t="s">
        <v>1131</v>
      </c>
      <c r="D71" s="623">
        <v>1</v>
      </c>
      <c r="E71" s="472">
        <v>40</v>
      </c>
      <c r="F71" s="623">
        <v>0</v>
      </c>
      <c r="G71" s="472">
        <v>0</v>
      </c>
      <c r="H71" s="472">
        <v>1099</v>
      </c>
      <c r="I71" s="472">
        <f t="shared" si="34"/>
        <v>1099</v>
      </c>
      <c r="J71" s="472">
        <v>0</v>
      </c>
      <c r="K71" s="649">
        <f t="shared" si="35"/>
        <v>0</v>
      </c>
      <c r="L71" s="472">
        <v>0</v>
      </c>
      <c r="M71" s="649">
        <f t="shared" si="35"/>
        <v>0</v>
      </c>
      <c r="N71" s="518">
        <v>59</v>
      </c>
      <c r="O71" s="532">
        <v>0</v>
      </c>
      <c r="P71" s="649">
        <f t="shared" si="36"/>
        <v>0</v>
      </c>
      <c r="Q71" s="472">
        <v>497</v>
      </c>
      <c r="R71" s="649">
        <f t="shared" si="37"/>
        <v>0.45222929936305734</v>
      </c>
      <c r="S71" s="472">
        <v>301</v>
      </c>
      <c r="T71" s="649">
        <f t="shared" si="38"/>
        <v>0.27388535031847133</v>
      </c>
      <c r="U71" s="472">
        <v>0</v>
      </c>
      <c r="V71" s="649">
        <f t="shared" si="39"/>
        <v>0</v>
      </c>
      <c r="W71" s="472">
        <v>0</v>
      </c>
      <c r="X71" s="649">
        <f t="shared" si="40"/>
        <v>0</v>
      </c>
      <c r="Y71" s="472">
        <v>301</v>
      </c>
      <c r="Z71" s="649">
        <f t="shared" si="41"/>
        <v>0.27388535031847133</v>
      </c>
      <c r="AA71" s="472">
        <v>0</v>
      </c>
      <c r="AB71" s="649">
        <f t="shared" si="42"/>
        <v>0</v>
      </c>
      <c r="AC71" s="472">
        <v>0</v>
      </c>
      <c r="AD71" s="649">
        <f t="shared" si="43"/>
        <v>0</v>
      </c>
    </row>
    <row r="72" spans="1:30" ht="11.25" customHeight="1">
      <c r="A72" s="948"/>
      <c r="B72" s="521">
        <v>60</v>
      </c>
      <c r="C72" s="521" t="s">
        <v>1132</v>
      </c>
      <c r="D72" s="622">
        <v>1</v>
      </c>
      <c r="E72" s="478">
        <v>24</v>
      </c>
      <c r="F72" s="622">
        <v>0</v>
      </c>
      <c r="G72" s="478">
        <v>0</v>
      </c>
      <c r="H72" s="478">
        <v>500</v>
      </c>
      <c r="I72" s="478">
        <f t="shared" si="34"/>
        <v>500</v>
      </c>
      <c r="J72" s="478">
        <v>0</v>
      </c>
      <c r="K72" s="644">
        <f t="shared" si="35"/>
        <v>0</v>
      </c>
      <c r="L72" s="478">
        <v>0</v>
      </c>
      <c r="M72" s="644">
        <f t="shared" si="35"/>
        <v>0</v>
      </c>
      <c r="N72" s="521">
        <v>60</v>
      </c>
      <c r="O72" s="486">
        <v>0</v>
      </c>
      <c r="P72" s="644">
        <f t="shared" si="36"/>
        <v>0</v>
      </c>
      <c r="Q72" s="478">
        <v>150</v>
      </c>
      <c r="R72" s="644">
        <f t="shared" si="37"/>
        <v>0.3</v>
      </c>
      <c r="S72" s="478">
        <v>350</v>
      </c>
      <c r="T72" s="644">
        <f t="shared" si="38"/>
        <v>0.7</v>
      </c>
      <c r="U72" s="478">
        <v>0</v>
      </c>
      <c r="V72" s="644">
        <f t="shared" si="39"/>
        <v>0</v>
      </c>
      <c r="W72" s="478">
        <v>0</v>
      </c>
      <c r="X72" s="644">
        <f t="shared" si="40"/>
        <v>0</v>
      </c>
      <c r="Y72" s="478">
        <v>0</v>
      </c>
      <c r="Z72" s="644">
        <f t="shared" si="41"/>
        <v>0</v>
      </c>
      <c r="AA72" s="478">
        <v>0</v>
      </c>
      <c r="AB72" s="644">
        <f t="shared" si="42"/>
        <v>0</v>
      </c>
      <c r="AC72" s="478">
        <v>0</v>
      </c>
      <c r="AD72" s="644">
        <f t="shared" si="43"/>
        <v>0</v>
      </c>
    </row>
    <row r="73" spans="1:30" ht="11.25" customHeight="1">
      <c r="A73" s="948"/>
      <c r="B73" s="538">
        <v>61</v>
      </c>
      <c r="C73" s="538" t="s">
        <v>1133</v>
      </c>
      <c r="D73" s="620">
        <v>2</v>
      </c>
      <c r="E73" s="495">
        <v>118</v>
      </c>
      <c r="F73" s="620">
        <v>699</v>
      </c>
      <c r="G73" s="495">
        <v>280</v>
      </c>
      <c r="H73" s="495">
        <v>2655</v>
      </c>
      <c r="I73" s="495">
        <f t="shared" si="34"/>
        <v>3634</v>
      </c>
      <c r="J73" s="495">
        <v>0</v>
      </c>
      <c r="K73" s="648">
        <f t="shared" si="35"/>
        <v>0</v>
      </c>
      <c r="L73" s="495">
        <v>30</v>
      </c>
      <c r="M73" s="648">
        <f t="shared" si="35"/>
        <v>8.2553659878921298E-3</v>
      </c>
      <c r="N73" s="538">
        <v>61</v>
      </c>
      <c r="O73" s="589">
        <v>0</v>
      </c>
      <c r="P73" s="648">
        <f t="shared" si="36"/>
        <v>0</v>
      </c>
      <c r="Q73" s="495">
        <v>0</v>
      </c>
      <c r="R73" s="648">
        <f t="shared" si="37"/>
        <v>0</v>
      </c>
      <c r="S73" s="495">
        <v>2308</v>
      </c>
      <c r="T73" s="648">
        <f t="shared" si="38"/>
        <v>0.63511282333516783</v>
      </c>
      <c r="U73" s="495">
        <v>0</v>
      </c>
      <c r="V73" s="648">
        <f t="shared" si="39"/>
        <v>0</v>
      </c>
      <c r="W73" s="495">
        <v>0</v>
      </c>
      <c r="X73" s="648">
        <f t="shared" si="40"/>
        <v>0</v>
      </c>
      <c r="Y73" s="495">
        <v>1294</v>
      </c>
      <c r="Z73" s="648">
        <f t="shared" si="41"/>
        <v>0.35608145294441385</v>
      </c>
      <c r="AA73" s="495">
        <v>2</v>
      </c>
      <c r="AB73" s="648">
        <f t="shared" si="42"/>
        <v>5.5035773252614197E-4</v>
      </c>
      <c r="AC73" s="495">
        <v>994</v>
      </c>
      <c r="AD73" s="648">
        <f t="shared" si="43"/>
        <v>0.27352779306549257</v>
      </c>
    </row>
    <row r="74" spans="1:30" ht="11.25" customHeight="1" thickBot="1">
      <c r="A74" s="948"/>
      <c r="B74" s="535">
        <v>62</v>
      </c>
      <c r="C74" s="535" t="s">
        <v>1134</v>
      </c>
      <c r="D74" s="619">
        <v>1</v>
      </c>
      <c r="E74" s="491">
        <v>150</v>
      </c>
      <c r="F74" s="619">
        <v>0</v>
      </c>
      <c r="G74" s="491">
        <v>130</v>
      </c>
      <c r="H74" s="491">
        <v>4550</v>
      </c>
      <c r="I74" s="491">
        <f t="shared" si="34"/>
        <v>4680</v>
      </c>
      <c r="J74" s="491">
        <v>0</v>
      </c>
      <c r="K74" s="642">
        <f t="shared" si="35"/>
        <v>0</v>
      </c>
      <c r="L74" s="491">
        <v>0</v>
      </c>
      <c r="M74" s="642">
        <f t="shared" si="35"/>
        <v>0</v>
      </c>
      <c r="N74" s="535">
        <v>62</v>
      </c>
      <c r="O74" s="637">
        <v>0</v>
      </c>
      <c r="P74" s="642">
        <f t="shared" si="36"/>
        <v>0</v>
      </c>
      <c r="Q74" s="491">
        <v>300</v>
      </c>
      <c r="R74" s="642">
        <f t="shared" si="37"/>
        <v>6.4102564102564097E-2</v>
      </c>
      <c r="S74" s="491">
        <v>4380</v>
      </c>
      <c r="T74" s="642">
        <f t="shared" si="38"/>
        <v>0.9358974358974359</v>
      </c>
      <c r="U74" s="491">
        <v>0</v>
      </c>
      <c r="V74" s="642">
        <f t="shared" si="39"/>
        <v>0</v>
      </c>
      <c r="W74" s="491">
        <v>0</v>
      </c>
      <c r="X74" s="642">
        <f t="shared" si="40"/>
        <v>0</v>
      </c>
      <c r="Y74" s="491">
        <v>0</v>
      </c>
      <c r="Z74" s="642">
        <f t="shared" si="41"/>
        <v>0</v>
      </c>
      <c r="AA74" s="491">
        <v>0</v>
      </c>
      <c r="AB74" s="642">
        <f t="shared" si="42"/>
        <v>0</v>
      </c>
      <c r="AC74" s="491">
        <v>0</v>
      </c>
      <c r="AD74" s="642">
        <f t="shared" si="43"/>
        <v>0</v>
      </c>
    </row>
    <row r="75" spans="1:30" ht="11.25" customHeight="1" thickTop="1">
      <c r="A75" s="948"/>
      <c r="B75" s="502"/>
      <c r="C75" s="536" t="s">
        <v>34</v>
      </c>
      <c r="D75" s="650">
        <f t="shared" ref="D75:J75" si="44">SUM(D55:D74)</f>
        <v>61</v>
      </c>
      <c r="E75" s="650">
        <f t="shared" si="44"/>
        <v>4289</v>
      </c>
      <c r="F75" s="650">
        <f t="shared" si="44"/>
        <v>35557.800000000003</v>
      </c>
      <c r="G75" s="650">
        <f t="shared" si="44"/>
        <v>6663</v>
      </c>
      <c r="H75" s="650">
        <f t="shared" si="44"/>
        <v>123924.75</v>
      </c>
      <c r="I75" s="650">
        <f t="shared" si="44"/>
        <v>166145.55000000002</v>
      </c>
      <c r="J75" s="650">
        <f t="shared" si="44"/>
        <v>2484</v>
      </c>
      <c r="K75" s="651">
        <f t="shared" si="35"/>
        <v>1.4950746499078668E-2</v>
      </c>
      <c r="L75" s="650">
        <f>SUM(L55:L74)</f>
        <v>10506</v>
      </c>
      <c r="M75" s="651">
        <f t="shared" si="35"/>
        <v>6.3233712849967982E-2</v>
      </c>
      <c r="N75" s="502"/>
      <c r="O75" s="650">
        <f>SUM(O55:O74)</f>
        <v>3479.1</v>
      </c>
      <c r="P75" s="651">
        <f t="shared" si="36"/>
        <v>2.0940073327272379E-2</v>
      </c>
      <c r="Q75" s="650">
        <f>SUM(Q55:Q74)</f>
        <v>3482.8</v>
      </c>
      <c r="R75" s="651">
        <f t="shared" si="37"/>
        <v>2.0962342957725921E-2</v>
      </c>
      <c r="S75" s="650">
        <f>SUM(S55:S74)</f>
        <v>130987.65</v>
      </c>
      <c r="T75" s="651">
        <f t="shared" si="38"/>
        <v>0.78839096202095083</v>
      </c>
      <c r="U75" s="650">
        <f>SUM(U55:U74)</f>
        <v>0</v>
      </c>
      <c r="V75" s="651">
        <f t="shared" si="39"/>
        <v>0</v>
      </c>
      <c r="W75" s="650">
        <f>SUM(W55:W74)</f>
        <v>0</v>
      </c>
      <c r="X75" s="651">
        <f t="shared" si="40"/>
        <v>0</v>
      </c>
      <c r="Y75" s="650">
        <f>SUM(Y55:Y74)</f>
        <v>15196.5</v>
      </c>
      <c r="Z75" s="651">
        <f t="shared" si="41"/>
        <v>9.1464983564109897E-2</v>
      </c>
      <c r="AA75" s="650">
        <f>SUM(AA55:AA74)</f>
        <v>9.5</v>
      </c>
      <c r="AB75" s="651">
        <f t="shared" si="42"/>
        <v>5.717878089422196E-5</v>
      </c>
      <c r="AC75" s="650">
        <f>SUM(AC55:AC74)</f>
        <v>7653</v>
      </c>
      <c r="AD75" s="651">
        <f t="shared" si="43"/>
        <v>4.6062022124576912E-2</v>
      </c>
    </row>
    <row r="76" spans="1:30" ht="11.25" customHeight="1">
      <c r="A76" s="949"/>
      <c r="B76" s="509"/>
      <c r="C76" s="537"/>
      <c r="D76" s="652"/>
      <c r="E76" s="653"/>
      <c r="F76" s="2173"/>
      <c r="G76" s="653"/>
      <c r="H76" s="653"/>
      <c r="I76" s="653"/>
      <c r="J76" s="653"/>
      <c r="K76" s="654"/>
      <c r="L76" s="653"/>
      <c r="M76" s="655"/>
      <c r="N76" s="509"/>
      <c r="O76" s="2174"/>
      <c r="P76" s="654"/>
      <c r="Q76" s="653"/>
      <c r="R76" s="654"/>
      <c r="S76" s="653"/>
      <c r="T76" s="654"/>
      <c r="U76" s="653"/>
      <c r="V76" s="654"/>
      <c r="W76" s="653"/>
      <c r="X76" s="654"/>
      <c r="Y76" s="653"/>
      <c r="Z76" s="654"/>
      <c r="AA76" s="653"/>
      <c r="AB76" s="654"/>
      <c r="AC76" s="653"/>
      <c r="AD76" s="654"/>
    </row>
    <row r="77" spans="1:30" ht="11.25" customHeight="1">
      <c r="A77" s="947" t="s">
        <v>737</v>
      </c>
      <c r="B77" s="535">
        <v>63</v>
      </c>
      <c r="C77" s="535" t="s">
        <v>1137</v>
      </c>
      <c r="D77" s="623">
        <v>36</v>
      </c>
      <c r="E77" s="472">
        <v>2085.6999999999998</v>
      </c>
      <c r="F77" s="623">
        <v>19302</v>
      </c>
      <c r="G77" s="472">
        <v>11379</v>
      </c>
      <c r="H77" s="472">
        <v>49459</v>
      </c>
      <c r="I77" s="472">
        <f t="shared" ref="I77:I86" si="45">SUM(F77:H77)</f>
        <v>80140</v>
      </c>
      <c r="J77" s="472">
        <v>0</v>
      </c>
      <c r="K77" s="649">
        <f t="shared" ref="K77:M87" si="46">J77/$I77</f>
        <v>0</v>
      </c>
      <c r="L77" s="472">
        <v>5497</v>
      </c>
      <c r="M77" s="649">
        <f t="shared" ref="M77:M86" si="47">L77/$I77</f>
        <v>6.8592463189418515E-2</v>
      </c>
      <c r="N77" s="535">
        <v>63</v>
      </c>
      <c r="O77" s="532">
        <v>5175</v>
      </c>
      <c r="P77" s="649">
        <f t="shared" ref="P77:P87" si="48">O77/$I77</f>
        <v>6.4574494634389815E-2</v>
      </c>
      <c r="Q77" s="472">
        <v>0</v>
      </c>
      <c r="R77" s="649">
        <f t="shared" ref="R77:R87" si="49">Q77/$I77</f>
        <v>0</v>
      </c>
      <c r="S77" s="472">
        <v>51110</v>
      </c>
      <c r="T77" s="649">
        <f t="shared" ref="T77:T87" si="50">S77/$I77</f>
        <v>0.63775892188669825</v>
      </c>
      <c r="U77" s="472">
        <v>0</v>
      </c>
      <c r="V77" s="649">
        <f t="shared" ref="V77:V87" si="51">U77/$I77</f>
        <v>0</v>
      </c>
      <c r="W77" s="472">
        <v>0</v>
      </c>
      <c r="X77" s="649">
        <f t="shared" ref="X77:X87" si="52">W77/$I77</f>
        <v>0</v>
      </c>
      <c r="Y77" s="472">
        <v>18358</v>
      </c>
      <c r="Z77" s="649">
        <f t="shared" ref="Z77:Z87" si="53">Y77/$I77</f>
        <v>0.22907412028949339</v>
      </c>
      <c r="AA77" s="472">
        <v>0</v>
      </c>
      <c r="AB77" s="649">
        <f t="shared" ref="AB77:AB87" si="54">AA77/$I77</f>
        <v>0</v>
      </c>
      <c r="AC77" s="472">
        <v>1906</v>
      </c>
      <c r="AD77" s="649">
        <f t="shared" ref="AD77:AD87" si="55">AC77/$I77</f>
        <v>2.3783379086598454E-2</v>
      </c>
    </row>
    <row r="78" spans="1:30" ht="11.25" customHeight="1">
      <c r="A78" s="948"/>
      <c r="B78" s="517">
        <v>64</v>
      </c>
      <c r="C78" s="538" t="s">
        <v>1138</v>
      </c>
      <c r="D78" s="619">
        <v>10</v>
      </c>
      <c r="E78" s="491">
        <v>1517</v>
      </c>
      <c r="F78" s="619">
        <v>915</v>
      </c>
      <c r="G78" s="491">
        <v>0</v>
      </c>
      <c r="H78" s="491">
        <v>33960</v>
      </c>
      <c r="I78" s="491">
        <f t="shared" si="45"/>
        <v>34875</v>
      </c>
      <c r="J78" s="491">
        <v>0</v>
      </c>
      <c r="K78" s="642">
        <f t="shared" si="46"/>
        <v>0</v>
      </c>
      <c r="L78" s="491">
        <v>15207</v>
      </c>
      <c r="M78" s="642">
        <f t="shared" si="47"/>
        <v>0.4360430107526882</v>
      </c>
      <c r="N78" s="517">
        <v>64</v>
      </c>
      <c r="O78" s="637">
        <v>115</v>
      </c>
      <c r="P78" s="642">
        <f t="shared" si="48"/>
        <v>3.2974910394265233E-3</v>
      </c>
      <c r="Q78" s="491">
        <v>0</v>
      </c>
      <c r="R78" s="642">
        <f t="shared" si="49"/>
        <v>0</v>
      </c>
      <c r="S78" s="491">
        <v>14882</v>
      </c>
      <c r="T78" s="642">
        <f t="shared" si="50"/>
        <v>0.42672401433691759</v>
      </c>
      <c r="U78" s="491">
        <v>0</v>
      </c>
      <c r="V78" s="642">
        <f t="shared" si="51"/>
        <v>0</v>
      </c>
      <c r="W78" s="491">
        <v>0</v>
      </c>
      <c r="X78" s="642">
        <f t="shared" si="52"/>
        <v>0</v>
      </c>
      <c r="Y78" s="491">
        <v>2992</v>
      </c>
      <c r="Z78" s="642">
        <f t="shared" si="53"/>
        <v>8.5792114695340496E-2</v>
      </c>
      <c r="AA78" s="491">
        <v>1679</v>
      </c>
      <c r="AB78" s="642">
        <f t="shared" si="54"/>
        <v>4.814336917562724E-2</v>
      </c>
      <c r="AC78" s="491">
        <v>3175</v>
      </c>
      <c r="AD78" s="642">
        <f t="shared" si="55"/>
        <v>9.1039426523297495E-2</v>
      </c>
    </row>
    <row r="79" spans="1:30" ht="11.25" customHeight="1">
      <c r="A79" s="948"/>
      <c r="B79" s="554">
        <v>65</v>
      </c>
      <c r="C79" s="535" t="s">
        <v>1233</v>
      </c>
      <c r="D79" s="619">
        <v>19</v>
      </c>
      <c r="E79" s="491">
        <v>2697</v>
      </c>
      <c r="F79" s="619">
        <v>11541</v>
      </c>
      <c r="G79" s="491">
        <v>32370</v>
      </c>
      <c r="H79" s="491">
        <v>97985</v>
      </c>
      <c r="I79" s="491">
        <f t="shared" si="45"/>
        <v>141896</v>
      </c>
      <c r="J79" s="491">
        <v>8802</v>
      </c>
      <c r="K79" s="642">
        <f t="shared" si="46"/>
        <v>6.2031346901956365E-2</v>
      </c>
      <c r="L79" s="491">
        <v>42749</v>
      </c>
      <c r="M79" s="642">
        <f t="shared" si="47"/>
        <v>0.30126994418447312</v>
      </c>
      <c r="N79" s="554">
        <v>65</v>
      </c>
      <c r="O79" s="471">
        <v>6516</v>
      </c>
      <c r="P79" s="642">
        <f t="shared" si="48"/>
        <v>4.592095619326831E-2</v>
      </c>
      <c r="Q79" s="467">
        <v>0</v>
      </c>
      <c r="R79" s="642">
        <f t="shared" si="49"/>
        <v>0</v>
      </c>
      <c r="S79" s="467">
        <v>57407</v>
      </c>
      <c r="T79" s="642">
        <f t="shared" si="50"/>
        <v>0.40457095337430232</v>
      </c>
      <c r="U79" s="467">
        <v>1385</v>
      </c>
      <c r="V79" s="642">
        <f t="shared" si="51"/>
        <v>9.7606697863223766E-3</v>
      </c>
      <c r="W79" s="467">
        <v>0</v>
      </c>
      <c r="X79" s="642">
        <f t="shared" si="52"/>
        <v>0</v>
      </c>
      <c r="Y79" s="467">
        <v>12876</v>
      </c>
      <c r="Z79" s="642">
        <f t="shared" si="53"/>
        <v>9.0742515645261312E-2</v>
      </c>
      <c r="AA79" s="467">
        <v>12161</v>
      </c>
      <c r="AB79" s="642">
        <f t="shared" si="54"/>
        <v>8.5703613914416193E-2</v>
      </c>
      <c r="AC79" s="467">
        <v>6214</v>
      </c>
      <c r="AD79" s="642">
        <f t="shared" si="55"/>
        <v>4.3792636860799455E-2</v>
      </c>
    </row>
    <row r="80" spans="1:30" ht="11.25" customHeight="1">
      <c r="A80" s="948"/>
      <c r="B80" s="535">
        <v>66</v>
      </c>
      <c r="C80" s="535" t="s">
        <v>406</v>
      </c>
      <c r="D80" s="619">
        <v>3</v>
      </c>
      <c r="E80" s="491">
        <v>448</v>
      </c>
      <c r="F80" s="619">
        <v>222</v>
      </c>
      <c r="G80" s="491">
        <v>2924</v>
      </c>
      <c r="H80" s="491">
        <v>8559</v>
      </c>
      <c r="I80" s="491">
        <f t="shared" si="45"/>
        <v>11705</v>
      </c>
      <c r="J80" s="491">
        <v>0</v>
      </c>
      <c r="K80" s="642">
        <f t="shared" si="46"/>
        <v>0</v>
      </c>
      <c r="L80" s="491">
        <v>275</v>
      </c>
      <c r="M80" s="642">
        <f t="shared" si="47"/>
        <v>2.349423323366083E-2</v>
      </c>
      <c r="N80" s="535">
        <v>66</v>
      </c>
      <c r="O80" s="637">
        <v>358</v>
      </c>
      <c r="P80" s="642">
        <f t="shared" si="48"/>
        <v>3.0585219991456643E-2</v>
      </c>
      <c r="Q80" s="491">
        <v>0</v>
      </c>
      <c r="R80" s="642">
        <f t="shared" si="49"/>
        <v>0</v>
      </c>
      <c r="S80" s="491">
        <v>5469</v>
      </c>
      <c r="T80" s="642">
        <f t="shared" si="50"/>
        <v>0.46723622383596752</v>
      </c>
      <c r="U80" s="491">
        <v>0</v>
      </c>
      <c r="V80" s="642">
        <f t="shared" si="51"/>
        <v>0</v>
      </c>
      <c r="W80" s="491">
        <v>0</v>
      </c>
      <c r="X80" s="642">
        <f t="shared" si="52"/>
        <v>0</v>
      </c>
      <c r="Y80" s="491">
        <v>5417</v>
      </c>
      <c r="Z80" s="642">
        <f t="shared" si="53"/>
        <v>0.46279367791542075</v>
      </c>
      <c r="AA80" s="491">
        <v>186</v>
      </c>
      <c r="AB80" s="642">
        <f t="shared" si="54"/>
        <v>1.5890645023494233E-2</v>
      </c>
      <c r="AC80" s="491">
        <v>6411</v>
      </c>
      <c r="AD80" s="642">
        <f t="shared" si="55"/>
        <v>0.54771465185818025</v>
      </c>
    </row>
    <row r="81" spans="1:30" ht="11.25" customHeight="1">
      <c r="A81" s="948"/>
      <c r="B81" s="517">
        <v>67</v>
      </c>
      <c r="C81" s="517" t="s">
        <v>1140</v>
      </c>
      <c r="D81" s="621">
        <v>10</v>
      </c>
      <c r="E81" s="482">
        <v>824</v>
      </c>
      <c r="F81" s="621">
        <v>1685</v>
      </c>
      <c r="G81" s="482">
        <v>2047</v>
      </c>
      <c r="H81" s="482">
        <v>31474</v>
      </c>
      <c r="I81" s="482">
        <f t="shared" si="45"/>
        <v>35206</v>
      </c>
      <c r="J81" s="482">
        <v>0</v>
      </c>
      <c r="K81" s="643">
        <f t="shared" si="46"/>
        <v>0</v>
      </c>
      <c r="L81" s="482">
        <v>11373</v>
      </c>
      <c r="M81" s="643">
        <f t="shared" si="47"/>
        <v>0.32304152701244104</v>
      </c>
      <c r="N81" s="517">
        <v>67</v>
      </c>
      <c r="O81" s="500">
        <v>2059</v>
      </c>
      <c r="P81" s="643">
        <f t="shared" si="48"/>
        <v>5.8484349258649093E-2</v>
      </c>
      <c r="Q81" s="482">
        <v>0</v>
      </c>
      <c r="R81" s="643">
        <f t="shared" si="49"/>
        <v>0</v>
      </c>
      <c r="S81" s="482">
        <v>21180</v>
      </c>
      <c r="T81" s="643">
        <f t="shared" si="50"/>
        <v>0.60160199965914896</v>
      </c>
      <c r="U81" s="482">
        <v>0</v>
      </c>
      <c r="V81" s="643">
        <f t="shared" si="51"/>
        <v>0</v>
      </c>
      <c r="W81" s="482">
        <v>0</v>
      </c>
      <c r="X81" s="643">
        <f t="shared" si="52"/>
        <v>0</v>
      </c>
      <c r="Y81" s="482">
        <v>594</v>
      </c>
      <c r="Z81" s="643">
        <f t="shared" si="53"/>
        <v>1.6872124069760835E-2</v>
      </c>
      <c r="AA81" s="482">
        <v>0</v>
      </c>
      <c r="AB81" s="643">
        <f t="shared" si="54"/>
        <v>0</v>
      </c>
      <c r="AC81" s="482">
        <v>0</v>
      </c>
      <c r="AD81" s="643">
        <f t="shared" si="55"/>
        <v>0</v>
      </c>
    </row>
    <row r="82" spans="1:30" ht="11.25" customHeight="1">
      <c r="A82" s="948"/>
      <c r="B82" s="538">
        <v>68</v>
      </c>
      <c r="C82" s="538" t="s">
        <v>408</v>
      </c>
      <c r="D82" s="620">
        <v>6</v>
      </c>
      <c r="E82" s="495">
        <v>1082</v>
      </c>
      <c r="F82" s="620">
        <v>6952</v>
      </c>
      <c r="G82" s="495">
        <v>13243</v>
      </c>
      <c r="H82" s="495">
        <v>96823</v>
      </c>
      <c r="I82" s="495">
        <f t="shared" si="45"/>
        <v>117018</v>
      </c>
      <c r="J82" s="495">
        <v>0</v>
      </c>
      <c r="K82" s="648">
        <f t="shared" si="46"/>
        <v>0</v>
      </c>
      <c r="L82" s="495">
        <v>29059</v>
      </c>
      <c r="M82" s="648">
        <f t="shared" si="47"/>
        <v>0.24832931685723564</v>
      </c>
      <c r="N82" s="538">
        <v>68</v>
      </c>
      <c r="O82" s="589">
        <v>0</v>
      </c>
      <c r="P82" s="648">
        <f t="shared" si="48"/>
        <v>0</v>
      </c>
      <c r="Q82" s="495">
        <v>0</v>
      </c>
      <c r="R82" s="648">
        <f t="shared" si="49"/>
        <v>0</v>
      </c>
      <c r="S82" s="495">
        <v>73400</v>
      </c>
      <c r="T82" s="648">
        <f t="shared" si="50"/>
        <v>0.62725392674631253</v>
      </c>
      <c r="U82" s="495">
        <v>0</v>
      </c>
      <c r="V82" s="648">
        <f t="shared" si="51"/>
        <v>0</v>
      </c>
      <c r="W82" s="495">
        <v>0</v>
      </c>
      <c r="X82" s="648">
        <f t="shared" si="52"/>
        <v>0</v>
      </c>
      <c r="Y82" s="495">
        <v>13877</v>
      </c>
      <c r="Z82" s="648">
        <f t="shared" si="53"/>
        <v>0.11858859320788255</v>
      </c>
      <c r="AA82" s="495">
        <v>682</v>
      </c>
      <c r="AB82" s="648">
        <f t="shared" si="54"/>
        <v>5.8281631885692799E-3</v>
      </c>
      <c r="AC82" s="495">
        <v>452</v>
      </c>
      <c r="AD82" s="648">
        <f t="shared" si="55"/>
        <v>3.862653608846502E-3</v>
      </c>
    </row>
    <row r="83" spans="1:30" ht="11.25" customHeight="1">
      <c r="A83" s="948"/>
      <c r="B83" s="535">
        <v>69</v>
      </c>
      <c r="C83" s="535" t="s">
        <v>409</v>
      </c>
      <c r="D83" s="619">
        <v>4</v>
      </c>
      <c r="E83" s="491">
        <v>83.2</v>
      </c>
      <c r="F83" s="619">
        <v>585</v>
      </c>
      <c r="G83" s="491">
        <v>46</v>
      </c>
      <c r="H83" s="491">
        <v>28391.95</v>
      </c>
      <c r="I83" s="491">
        <f t="shared" si="45"/>
        <v>29022.95</v>
      </c>
      <c r="J83" s="491">
        <v>0</v>
      </c>
      <c r="K83" s="642">
        <f t="shared" si="46"/>
        <v>0</v>
      </c>
      <c r="L83" s="491">
        <v>2746</v>
      </c>
      <c r="M83" s="642">
        <f t="shared" si="47"/>
        <v>9.4614778993865195E-2</v>
      </c>
      <c r="N83" s="535">
        <v>69</v>
      </c>
      <c r="O83" s="637">
        <v>541.95000000000005</v>
      </c>
      <c r="P83" s="642">
        <f t="shared" si="48"/>
        <v>1.8673153487154131E-2</v>
      </c>
      <c r="Q83" s="491">
        <v>63</v>
      </c>
      <c r="R83" s="642">
        <f t="shared" si="49"/>
        <v>2.1706959492401702E-3</v>
      </c>
      <c r="S83" s="491">
        <v>25444</v>
      </c>
      <c r="T83" s="642">
        <f t="shared" si="50"/>
        <v>0.87668551956296648</v>
      </c>
      <c r="U83" s="491">
        <v>0</v>
      </c>
      <c r="V83" s="642">
        <f t="shared" si="51"/>
        <v>0</v>
      </c>
      <c r="W83" s="491">
        <v>0</v>
      </c>
      <c r="X83" s="642">
        <f t="shared" si="52"/>
        <v>0</v>
      </c>
      <c r="Y83" s="491">
        <v>228</v>
      </c>
      <c r="Z83" s="642">
        <f t="shared" si="53"/>
        <v>7.8558520067739494E-3</v>
      </c>
      <c r="AA83" s="491">
        <v>0</v>
      </c>
      <c r="AB83" s="642">
        <f t="shared" si="54"/>
        <v>0</v>
      </c>
      <c r="AC83" s="491">
        <v>0</v>
      </c>
      <c r="AD83" s="642">
        <f t="shared" si="55"/>
        <v>0</v>
      </c>
    </row>
    <row r="84" spans="1:30" ht="11.25" customHeight="1">
      <c r="A84" s="948"/>
      <c r="B84" s="535">
        <v>70</v>
      </c>
      <c r="C84" s="535" t="s">
        <v>1141</v>
      </c>
      <c r="D84" s="619">
        <v>9</v>
      </c>
      <c r="E84" s="491">
        <v>887</v>
      </c>
      <c r="F84" s="619">
        <v>6518</v>
      </c>
      <c r="G84" s="491">
        <v>2048</v>
      </c>
      <c r="H84" s="491">
        <v>15928</v>
      </c>
      <c r="I84" s="491">
        <f t="shared" si="45"/>
        <v>24494</v>
      </c>
      <c r="J84" s="491">
        <v>0</v>
      </c>
      <c r="K84" s="642">
        <f t="shared" si="46"/>
        <v>0</v>
      </c>
      <c r="L84" s="491">
        <v>1603</v>
      </c>
      <c r="M84" s="642">
        <f t="shared" si="47"/>
        <v>6.5444598677227073E-2</v>
      </c>
      <c r="N84" s="535">
        <v>70</v>
      </c>
      <c r="O84" s="637">
        <v>1900</v>
      </c>
      <c r="P84" s="642">
        <f t="shared" si="48"/>
        <v>7.7570017147056428E-2</v>
      </c>
      <c r="Q84" s="491">
        <v>0</v>
      </c>
      <c r="R84" s="642">
        <f t="shared" si="49"/>
        <v>0</v>
      </c>
      <c r="S84" s="491">
        <v>12727</v>
      </c>
      <c r="T84" s="642">
        <f t="shared" si="50"/>
        <v>0.51959663591083527</v>
      </c>
      <c r="U84" s="491">
        <v>0</v>
      </c>
      <c r="V84" s="642">
        <f t="shared" si="51"/>
        <v>0</v>
      </c>
      <c r="W84" s="491">
        <v>0</v>
      </c>
      <c r="X84" s="642">
        <f t="shared" si="52"/>
        <v>0</v>
      </c>
      <c r="Y84" s="491">
        <v>8072</v>
      </c>
      <c r="Z84" s="642">
        <f t="shared" si="53"/>
        <v>0.32955009390054707</v>
      </c>
      <c r="AA84" s="491">
        <v>192</v>
      </c>
      <c r="AB84" s="642">
        <f t="shared" si="54"/>
        <v>7.8386543643341224E-3</v>
      </c>
      <c r="AC84" s="491">
        <v>11602</v>
      </c>
      <c r="AD84" s="642">
        <f t="shared" si="55"/>
        <v>0.47366702049481507</v>
      </c>
    </row>
    <row r="85" spans="1:30" ht="11.25" customHeight="1">
      <c r="A85" s="948"/>
      <c r="B85" s="538">
        <v>71</v>
      </c>
      <c r="C85" s="553" t="s">
        <v>411</v>
      </c>
      <c r="D85" s="626">
        <v>12</v>
      </c>
      <c r="E85" s="488">
        <v>971</v>
      </c>
      <c r="F85" s="626">
        <v>9962</v>
      </c>
      <c r="G85" s="488">
        <v>11029</v>
      </c>
      <c r="H85" s="488">
        <v>67331</v>
      </c>
      <c r="I85" s="488">
        <f t="shared" si="45"/>
        <v>88322</v>
      </c>
      <c r="J85" s="488">
        <v>0</v>
      </c>
      <c r="K85" s="657">
        <f t="shared" si="46"/>
        <v>0</v>
      </c>
      <c r="L85" s="488">
        <v>58320</v>
      </c>
      <c r="M85" s="657">
        <f t="shared" si="47"/>
        <v>0.66031113425873511</v>
      </c>
      <c r="N85" s="538">
        <v>71</v>
      </c>
      <c r="O85" s="2179">
        <v>0</v>
      </c>
      <c r="P85" s="657">
        <f t="shared" si="48"/>
        <v>0</v>
      </c>
      <c r="Q85" s="488">
        <v>0</v>
      </c>
      <c r="R85" s="657">
        <f t="shared" si="49"/>
        <v>0</v>
      </c>
      <c r="S85" s="488">
        <v>23980</v>
      </c>
      <c r="T85" s="657">
        <f t="shared" si="50"/>
        <v>0.27150653291365684</v>
      </c>
      <c r="U85" s="488">
        <v>0</v>
      </c>
      <c r="V85" s="657">
        <f t="shared" si="51"/>
        <v>0</v>
      </c>
      <c r="W85" s="488">
        <v>0</v>
      </c>
      <c r="X85" s="657">
        <f t="shared" si="52"/>
        <v>0</v>
      </c>
      <c r="Y85" s="488">
        <v>59</v>
      </c>
      <c r="Z85" s="657">
        <f t="shared" si="53"/>
        <v>6.6801023527546927E-4</v>
      </c>
      <c r="AA85" s="488">
        <v>5963</v>
      </c>
      <c r="AB85" s="657">
        <f t="shared" si="54"/>
        <v>6.7514322592332601E-2</v>
      </c>
      <c r="AC85" s="488">
        <v>3780</v>
      </c>
      <c r="AD85" s="657">
        <f t="shared" si="55"/>
        <v>4.2797943887140234E-2</v>
      </c>
    </row>
    <row r="86" spans="1:30" ht="11.25" customHeight="1" thickBot="1">
      <c r="A86" s="948"/>
      <c r="B86" s="517">
        <v>72</v>
      </c>
      <c r="C86" s="535" t="s">
        <v>1142</v>
      </c>
      <c r="D86" s="619">
        <v>20</v>
      </c>
      <c r="E86" s="491">
        <v>802</v>
      </c>
      <c r="F86" s="619">
        <v>10240</v>
      </c>
      <c r="G86" s="491">
        <v>13506</v>
      </c>
      <c r="H86" s="491">
        <v>37504</v>
      </c>
      <c r="I86" s="491">
        <f t="shared" si="45"/>
        <v>61250</v>
      </c>
      <c r="J86" s="491">
        <v>0</v>
      </c>
      <c r="K86" s="642">
        <f t="shared" si="46"/>
        <v>0</v>
      </c>
      <c r="L86" s="491">
        <v>3615</v>
      </c>
      <c r="M86" s="642">
        <f t="shared" si="47"/>
        <v>5.9020408163265307E-2</v>
      </c>
      <c r="N86" s="517">
        <v>72</v>
      </c>
      <c r="O86" s="637">
        <v>4133</v>
      </c>
      <c r="P86" s="642">
        <f t="shared" si="48"/>
        <v>6.7477551020408158E-2</v>
      </c>
      <c r="Q86" s="491">
        <v>200</v>
      </c>
      <c r="R86" s="642">
        <f t="shared" si="49"/>
        <v>3.2653061224489797E-3</v>
      </c>
      <c r="S86" s="491">
        <v>25858</v>
      </c>
      <c r="T86" s="642">
        <f t="shared" si="50"/>
        <v>0.42217142857142859</v>
      </c>
      <c r="U86" s="491">
        <v>0</v>
      </c>
      <c r="V86" s="642">
        <f t="shared" si="51"/>
        <v>0</v>
      </c>
      <c r="W86" s="491">
        <v>0</v>
      </c>
      <c r="X86" s="642">
        <f t="shared" si="52"/>
        <v>0</v>
      </c>
      <c r="Y86" s="491">
        <v>27397</v>
      </c>
      <c r="Z86" s="642">
        <f t="shared" si="53"/>
        <v>0.44729795918367349</v>
      </c>
      <c r="AA86" s="491">
        <v>47</v>
      </c>
      <c r="AB86" s="642">
        <f t="shared" si="54"/>
        <v>7.6734693877551015E-4</v>
      </c>
      <c r="AC86" s="491">
        <v>24545</v>
      </c>
      <c r="AD86" s="642">
        <f t="shared" si="55"/>
        <v>0.40073469387755101</v>
      </c>
    </row>
    <row r="87" spans="1:30" ht="11.25" customHeight="1" thickTop="1">
      <c r="A87" s="948"/>
      <c r="B87" s="502"/>
      <c r="C87" s="536" t="s">
        <v>34</v>
      </c>
      <c r="D87" s="650">
        <f t="shared" ref="D87:J87" si="56">SUM(D77:D86)</f>
        <v>129</v>
      </c>
      <c r="E87" s="650">
        <f t="shared" si="56"/>
        <v>11396.900000000001</v>
      </c>
      <c r="F87" s="650">
        <f t="shared" si="56"/>
        <v>67922</v>
      </c>
      <c r="G87" s="650">
        <f t="shared" si="56"/>
        <v>88592</v>
      </c>
      <c r="H87" s="650">
        <f t="shared" si="56"/>
        <v>467414.95</v>
      </c>
      <c r="I87" s="650">
        <f t="shared" si="56"/>
        <v>623928.94999999995</v>
      </c>
      <c r="J87" s="650">
        <f t="shared" si="56"/>
        <v>8802</v>
      </c>
      <c r="K87" s="651">
        <f t="shared" si="46"/>
        <v>1.4107375527293613E-2</v>
      </c>
      <c r="L87" s="650">
        <f>SUM(L77:L86)</f>
        <v>170444</v>
      </c>
      <c r="M87" s="651">
        <f t="shared" si="46"/>
        <v>0.27317854060145791</v>
      </c>
      <c r="N87" s="502"/>
      <c r="O87" s="650">
        <f>SUM(O77:O86)</f>
        <v>20797.95</v>
      </c>
      <c r="P87" s="651">
        <f t="shared" si="48"/>
        <v>3.3333843540999344E-2</v>
      </c>
      <c r="Q87" s="650">
        <f>SUM(Q77:Q86)</f>
        <v>263</v>
      </c>
      <c r="R87" s="651">
        <f t="shared" si="49"/>
        <v>4.215223544283368E-4</v>
      </c>
      <c r="S87" s="650">
        <f>SUM(S77:S86)</f>
        <v>311457</v>
      </c>
      <c r="T87" s="651">
        <f t="shared" si="50"/>
        <v>0.49918664617181174</v>
      </c>
      <c r="U87" s="650">
        <f>SUM(U77:U86)</f>
        <v>1385</v>
      </c>
      <c r="V87" s="651">
        <f t="shared" si="51"/>
        <v>2.2198040337766023E-3</v>
      </c>
      <c r="W87" s="650">
        <f>SUM(W77:W86)</f>
        <v>0</v>
      </c>
      <c r="X87" s="651">
        <f t="shared" si="52"/>
        <v>0</v>
      </c>
      <c r="Y87" s="650">
        <f>SUM(Y77:Y86)</f>
        <v>89870</v>
      </c>
      <c r="Z87" s="651">
        <f t="shared" si="53"/>
        <v>0.14403883647328755</v>
      </c>
      <c r="AA87" s="650">
        <f>SUM(AA77:AA86)</f>
        <v>20910</v>
      </c>
      <c r="AB87" s="651">
        <f t="shared" si="54"/>
        <v>3.3513431296944951E-2</v>
      </c>
      <c r="AC87" s="650">
        <f>SUM(AC77:AC86)</f>
        <v>58085</v>
      </c>
      <c r="AD87" s="651">
        <f t="shared" si="55"/>
        <v>9.309553595806061E-2</v>
      </c>
    </row>
    <row r="88" spans="1:30" ht="11.25" customHeight="1">
      <c r="A88" s="949"/>
      <c r="B88" s="509"/>
      <c r="C88" s="537"/>
      <c r="D88" s="652"/>
      <c r="E88" s="653"/>
      <c r="F88" s="2173"/>
      <c r="G88" s="653"/>
      <c r="H88" s="653"/>
      <c r="I88" s="653"/>
      <c r="J88" s="658"/>
      <c r="K88" s="659"/>
      <c r="L88" s="658"/>
      <c r="M88" s="660"/>
      <c r="N88" s="509"/>
      <c r="O88" s="2180"/>
      <c r="P88" s="659"/>
      <c r="Q88" s="658"/>
      <c r="R88" s="659"/>
      <c r="S88" s="658"/>
      <c r="T88" s="659"/>
      <c r="U88" s="658"/>
      <c r="V88" s="659"/>
      <c r="W88" s="658"/>
      <c r="X88" s="659"/>
      <c r="Y88" s="658"/>
      <c r="Z88" s="659"/>
      <c r="AA88" s="658"/>
      <c r="AB88" s="659"/>
      <c r="AC88" s="658"/>
      <c r="AD88" s="659"/>
    </row>
    <row r="89" spans="1:30" ht="11.25" customHeight="1">
      <c r="A89" s="947" t="s">
        <v>1143</v>
      </c>
      <c r="B89" s="535">
        <v>73</v>
      </c>
      <c r="C89" s="535" t="s">
        <v>1214</v>
      </c>
      <c r="D89" s="619">
        <v>30</v>
      </c>
      <c r="E89" s="491">
        <v>2597</v>
      </c>
      <c r="F89" s="619">
        <v>5548</v>
      </c>
      <c r="G89" s="491">
        <v>4567</v>
      </c>
      <c r="H89" s="491">
        <v>64392</v>
      </c>
      <c r="I89" s="491">
        <f>SUM(F89:H89)</f>
        <v>74507</v>
      </c>
      <c r="J89" s="491">
        <v>0</v>
      </c>
      <c r="K89" s="642">
        <f t="shared" ref="K89:M108" si="57">J89/$I89</f>
        <v>0</v>
      </c>
      <c r="L89" s="491">
        <v>7969</v>
      </c>
      <c r="M89" s="642">
        <f t="shared" si="57"/>
        <v>0.10695639335901325</v>
      </c>
      <c r="N89" s="535">
        <v>73</v>
      </c>
      <c r="O89" s="637">
        <v>26</v>
      </c>
      <c r="P89" s="642">
        <f t="shared" ref="P89:P108" si="58">O89/$I89</f>
        <v>3.4896050035567128E-4</v>
      </c>
      <c r="Q89" s="2181">
        <v>0</v>
      </c>
      <c r="R89" s="642">
        <f t="shared" ref="R89:R108" si="59">Q89/$I89</f>
        <v>0</v>
      </c>
      <c r="S89" s="491">
        <v>49723</v>
      </c>
      <c r="T89" s="642">
        <f t="shared" ref="T89:T108" si="60">S89/$I89</f>
        <v>0.66736011381480931</v>
      </c>
      <c r="U89" s="491">
        <v>0</v>
      </c>
      <c r="V89" s="642">
        <f t="shared" ref="V89:V108" si="61">U89/$I89</f>
        <v>0</v>
      </c>
      <c r="W89" s="491">
        <v>0</v>
      </c>
      <c r="X89" s="642">
        <f t="shared" ref="X89:X108" si="62">W89/$I89</f>
        <v>0</v>
      </c>
      <c r="Y89" s="491">
        <v>12966</v>
      </c>
      <c r="Z89" s="642">
        <f t="shared" ref="Z89:Z108" si="63">Y89/$I89</f>
        <v>0.17402391721583207</v>
      </c>
      <c r="AA89" s="491">
        <v>3823</v>
      </c>
      <c r="AB89" s="642">
        <f t="shared" ref="AB89:AB108" si="64">AA89/$I89</f>
        <v>5.1310615109989667E-2</v>
      </c>
      <c r="AC89" s="491">
        <v>17863</v>
      </c>
      <c r="AD89" s="642">
        <f t="shared" ref="AD89:AD108" si="65">AC89/$I89</f>
        <v>0.23974928530205217</v>
      </c>
    </row>
    <row r="90" spans="1:30" ht="11.25" customHeight="1">
      <c r="A90" s="948"/>
      <c r="B90" s="538">
        <v>74</v>
      </c>
      <c r="C90" s="538" t="s">
        <v>1145</v>
      </c>
      <c r="D90" s="620">
        <v>21</v>
      </c>
      <c r="E90" s="495">
        <v>2932</v>
      </c>
      <c r="F90" s="620">
        <v>9731</v>
      </c>
      <c r="G90" s="495">
        <v>4744</v>
      </c>
      <c r="H90" s="495">
        <v>68501</v>
      </c>
      <c r="I90" s="495">
        <f t="shared" ref="I90:I107" si="66">SUM(F90:H90)</f>
        <v>82976</v>
      </c>
      <c r="J90" s="495">
        <v>0</v>
      </c>
      <c r="K90" s="648">
        <f t="shared" si="57"/>
        <v>0</v>
      </c>
      <c r="L90" s="495">
        <v>14343</v>
      </c>
      <c r="M90" s="648">
        <f t="shared" si="57"/>
        <v>0.17285721172387197</v>
      </c>
      <c r="N90" s="538">
        <v>74</v>
      </c>
      <c r="O90" s="589">
        <v>0</v>
      </c>
      <c r="P90" s="648">
        <f t="shared" si="58"/>
        <v>0</v>
      </c>
      <c r="Q90" s="2182">
        <v>0</v>
      </c>
      <c r="R90" s="648">
        <f t="shared" si="59"/>
        <v>0</v>
      </c>
      <c r="S90" s="495">
        <v>35769</v>
      </c>
      <c r="T90" s="648">
        <f t="shared" si="60"/>
        <v>0.43107645584265331</v>
      </c>
      <c r="U90" s="495">
        <v>0</v>
      </c>
      <c r="V90" s="648">
        <f t="shared" si="61"/>
        <v>0</v>
      </c>
      <c r="W90" s="495">
        <v>0</v>
      </c>
      <c r="X90" s="648">
        <f t="shared" si="62"/>
        <v>0</v>
      </c>
      <c r="Y90" s="495">
        <v>6195</v>
      </c>
      <c r="Z90" s="648">
        <f t="shared" si="63"/>
        <v>7.4660142691862705E-2</v>
      </c>
      <c r="AA90" s="495">
        <v>26669</v>
      </c>
      <c r="AB90" s="648">
        <f t="shared" si="64"/>
        <v>0.32140618974161206</v>
      </c>
      <c r="AC90" s="495">
        <v>26211</v>
      </c>
      <c r="AD90" s="648">
        <f t="shared" si="65"/>
        <v>0.31588652140377943</v>
      </c>
    </row>
    <row r="91" spans="1:30" ht="11.25" customHeight="1">
      <c r="A91" s="948"/>
      <c r="B91" s="539">
        <v>75</v>
      </c>
      <c r="C91" s="638" t="s">
        <v>1146</v>
      </c>
      <c r="D91" s="139">
        <v>5</v>
      </c>
      <c r="E91" s="592">
        <v>1523</v>
      </c>
      <c r="F91" s="629">
        <v>1752</v>
      </c>
      <c r="G91" s="592">
        <v>2188</v>
      </c>
      <c r="H91" s="592">
        <v>21232</v>
      </c>
      <c r="I91" s="592">
        <f t="shared" si="66"/>
        <v>25172</v>
      </c>
      <c r="J91" s="592">
        <v>512</v>
      </c>
      <c r="K91" s="661">
        <f t="shared" si="57"/>
        <v>2.0340060384554267E-2</v>
      </c>
      <c r="L91" s="592">
        <v>4932</v>
      </c>
      <c r="M91" s="661">
        <f t="shared" si="57"/>
        <v>0.19593198792308913</v>
      </c>
      <c r="N91" s="539">
        <v>75</v>
      </c>
      <c r="O91" s="2183">
        <v>1448</v>
      </c>
      <c r="P91" s="661">
        <f t="shared" si="58"/>
        <v>5.7524233275067532E-2</v>
      </c>
      <c r="Q91" s="2175">
        <v>11</v>
      </c>
      <c r="R91" s="661">
        <f t="shared" si="59"/>
        <v>4.3699348482440805E-4</v>
      </c>
      <c r="S91" s="592">
        <v>14071</v>
      </c>
      <c r="T91" s="661">
        <f t="shared" si="60"/>
        <v>0.55899412045129504</v>
      </c>
      <c r="U91" s="592">
        <v>0</v>
      </c>
      <c r="V91" s="661">
        <f t="shared" si="61"/>
        <v>0</v>
      </c>
      <c r="W91" s="592">
        <v>0</v>
      </c>
      <c r="X91" s="661">
        <f t="shared" si="62"/>
        <v>0</v>
      </c>
      <c r="Y91" s="592">
        <v>4149</v>
      </c>
      <c r="Z91" s="661">
        <f t="shared" si="63"/>
        <v>0.16482599713967902</v>
      </c>
      <c r="AA91" s="592">
        <v>49</v>
      </c>
      <c r="AB91" s="661">
        <f t="shared" si="64"/>
        <v>1.946607341490545E-3</v>
      </c>
      <c r="AC91" s="592">
        <v>335.46000000000004</v>
      </c>
      <c r="AD91" s="661">
        <f t="shared" si="65"/>
        <v>1.3326712219926904E-2</v>
      </c>
    </row>
    <row r="92" spans="1:30" ht="11.25" customHeight="1">
      <c r="A92" s="948"/>
      <c r="B92" s="518">
        <v>76</v>
      </c>
      <c r="C92" s="568" t="s">
        <v>1147</v>
      </c>
      <c r="D92" s="142">
        <v>6</v>
      </c>
      <c r="E92" s="569">
        <v>345</v>
      </c>
      <c r="F92" s="630">
        <v>1003.69</v>
      </c>
      <c r="G92" s="569">
        <v>1226.93</v>
      </c>
      <c r="H92" s="569">
        <v>26546.93</v>
      </c>
      <c r="I92" s="569">
        <f t="shared" si="66"/>
        <v>28777.55</v>
      </c>
      <c r="J92" s="569">
        <v>0</v>
      </c>
      <c r="K92" s="662">
        <f t="shared" si="57"/>
        <v>0</v>
      </c>
      <c r="L92" s="569">
        <v>5381.2</v>
      </c>
      <c r="M92" s="662">
        <f t="shared" si="57"/>
        <v>0.18699298585181851</v>
      </c>
      <c r="N92" s="518">
        <v>76</v>
      </c>
      <c r="O92" s="2184">
        <v>1940.92</v>
      </c>
      <c r="P92" s="662">
        <f t="shared" si="58"/>
        <v>6.744563036116695E-2</v>
      </c>
      <c r="Q92" s="2185">
        <v>0</v>
      </c>
      <c r="R92" s="662">
        <f t="shared" si="59"/>
        <v>0</v>
      </c>
      <c r="S92" s="569">
        <v>19819.72</v>
      </c>
      <c r="T92" s="662">
        <f t="shared" si="60"/>
        <v>0.68872159026741342</v>
      </c>
      <c r="U92" s="569">
        <v>0</v>
      </c>
      <c r="V92" s="662">
        <f t="shared" si="61"/>
        <v>0</v>
      </c>
      <c r="W92" s="569">
        <v>0</v>
      </c>
      <c r="X92" s="662">
        <f t="shared" si="62"/>
        <v>0</v>
      </c>
      <c r="Y92" s="569">
        <v>1547.58</v>
      </c>
      <c r="Z92" s="662">
        <f t="shared" si="63"/>
        <v>5.3777336847646864E-2</v>
      </c>
      <c r="AA92" s="569">
        <v>88.13</v>
      </c>
      <c r="AB92" s="662">
        <f t="shared" si="64"/>
        <v>3.0624566719543531E-3</v>
      </c>
      <c r="AC92" s="569">
        <v>0</v>
      </c>
      <c r="AD92" s="662">
        <f t="shared" si="65"/>
        <v>0</v>
      </c>
    </row>
    <row r="93" spans="1:30" ht="11.25" customHeight="1">
      <c r="A93" s="948"/>
      <c r="B93" s="518">
        <v>77</v>
      </c>
      <c r="C93" s="518" t="s">
        <v>1148</v>
      </c>
      <c r="D93" s="623">
        <v>5</v>
      </c>
      <c r="E93" s="472">
        <v>82</v>
      </c>
      <c r="F93" s="623">
        <v>3317.98</v>
      </c>
      <c r="G93" s="472">
        <v>17.03</v>
      </c>
      <c r="H93" s="472">
        <v>6733.86</v>
      </c>
      <c r="I93" s="472">
        <f t="shared" si="66"/>
        <v>10068.869999999999</v>
      </c>
      <c r="J93" s="472">
        <v>0</v>
      </c>
      <c r="K93" s="649">
        <f t="shared" si="57"/>
        <v>0</v>
      </c>
      <c r="L93" s="472">
        <v>0</v>
      </c>
      <c r="M93" s="649">
        <f t="shared" si="57"/>
        <v>0</v>
      </c>
      <c r="N93" s="518">
        <v>77</v>
      </c>
      <c r="O93" s="532">
        <v>134.88</v>
      </c>
      <c r="P93" s="649">
        <f t="shared" si="58"/>
        <v>1.3395743514416216E-2</v>
      </c>
      <c r="Q93" s="2185">
        <v>0</v>
      </c>
      <c r="R93" s="649">
        <f t="shared" si="59"/>
        <v>0</v>
      </c>
      <c r="S93" s="472">
        <v>6567.8</v>
      </c>
      <c r="T93" s="649">
        <f t="shared" si="60"/>
        <v>0.65228769464696645</v>
      </c>
      <c r="U93" s="472">
        <v>0</v>
      </c>
      <c r="V93" s="649">
        <f t="shared" si="61"/>
        <v>0</v>
      </c>
      <c r="W93" s="472">
        <v>0</v>
      </c>
      <c r="X93" s="649">
        <f t="shared" si="62"/>
        <v>0</v>
      </c>
      <c r="Y93" s="472">
        <v>3284.0099999999998</v>
      </c>
      <c r="Z93" s="649">
        <f t="shared" si="63"/>
        <v>0.32615477208465299</v>
      </c>
      <c r="AA93" s="472">
        <v>82.18</v>
      </c>
      <c r="AB93" s="649">
        <f t="shared" si="64"/>
        <v>8.1617897539644491E-3</v>
      </c>
      <c r="AC93" s="472">
        <v>0</v>
      </c>
      <c r="AD93" s="649">
        <f t="shared" si="65"/>
        <v>0</v>
      </c>
    </row>
    <row r="94" spans="1:30" ht="11.25" customHeight="1">
      <c r="A94" s="948"/>
      <c r="B94" s="518">
        <v>78</v>
      </c>
      <c r="C94" s="518" t="s">
        <v>1149</v>
      </c>
      <c r="D94" s="623">
        <v>6</v>
      </c>
      <c r="E94" s="472">
        <v>641</v>
      </c>
      <c r="F94" s="623">
        <v>3367.94</v>
      </c>
      <c r="G94" s="472">
        <v>1059.29</v>
      </c>
      <c r="H94" s="472">
        <v>25485.83</v>
      </c>
      <c r="I94" s="472">
        <f t="shared" si="66"/>
        <v>29913.06</v>
      </c>
      <c r="J94" s="472">
        <v>0</v>
      </c>
      <c r="K94" s="649">
        <f t="shared" si="57"/>
        <v>0</v>
      </c>
      <c r="L94" s="472">
        <v>8285.27</v>
      </c>
      <c r="M94" s="649">
        <f t="shared" si="57"/>
        <v>0.27697834992474857</v>
      </c>
      <c r="N94" s="518">
        <v>78</v>
      </c>
      <c r="O94" s="532">
        <v>1444.44</v>
      </c>
      <c r="P94" s="649">
        <f t="shared" si="58"/>
        <v>4.8287938445615394E-2</v>
      </c>
      <c r="Q94" s="2185">
        <v>0</v>
      </c>
      <c r="R94" s="649">
        <f t="shared" si="59"/>
        <v>0</v>
      </c>
      <c r="S94" s="472">
        <v>19846.71</v>
      </c>
      <c r="T94" s="649">
        <f t="shared" si="60"/>
        <v>0.66347976435710687</v>
      </c>
      <c r="U94" s="472">
        <v>0</v>
      </c>
      <c r="V94" s="649">
        <f t="shared" si="61"/>
        <v>0</v>
      </c>
      <c r="W94" s="472">
        <v>0</v>
      </c>
      <c r="X94" s="649">
        <f t="shared" si="62"/>
        <v>0</v>
      </c>
      <c r="Y94" s="472">
        <v>266.07</v>
      </c>
      <c r="Z94" s="649">
        <f t="shared" si="63"/>
        <v>8.894777063931273E-3</v>
      </c>
      <c r="AA94" s="472">
        <v>70.569999999999993</v>
      </c>
      <c r="AB94" s="649">
        <f t="shared" si="64"/>
        <v>2.3591702085978498E-3</v>
      </c>
      <c r="AC94" s="472">
        <v>0</v>
      </c>
      <c r="AD94" s="649">
        <f t="shared" si="65"/>
        <v>0</v>
      </c>
    </row>
    <row r="95" spans="1:30" ht="11.25" customHeight="1">
      <c r="A95" s="948"/>
      <c r="B95" s="518">
        <v>79</v>
      </c>
      <c r="C95" s="518" t="s">
        <v>1150</v>
      </c>
      <c r="D95" s="623">
        <v>2</v>
      </c>
      <c r="E95" s="472">
        <v>140</v>
      </c>
      <c r="F95" s="623">
        <v>65.349999999999994</v>
      </c>
      <c r="G95" s="472">
        <v>864.26</v>
      </c>
      <c r="H95" s="472">
        <v>7847.54</v>
      </c>
      <c r="I95" s="472">
        <f t="shared" si="66"/>
        <v>8777.15</v>
      </c>
      <c r="J95" s="472">
        <v>0</v>
      </c>
      <c r="K95" s="649">
        <f t="shared" si="57"/>
        <v>0</v>
      </c>
      <c r="L95" s="472">
        <v>2496.31</v>
      </c>
      <c r="M95" s="649">
        <f t="shared" si="57"/>
        <v>0.2844100875568949</v>
      </c>
      <c r="N95" s="518">
        <v>79</v>
      </c>
      <c r="O95" s="532">
        <v>1290.46</v>
      </c>
      <c r="P95" s="649">
        <f t="shared" si="58"/>
        <v>0.14702494545495975</v>
      </c>
      <c r="Q95" s="2185">
        <v>0</v>
      </c>
      <c r="R95" s="649">
        <f t="shared" si="59"/>
        <v>0</v>
      </c>
      <c r="S95" s="472">
        <v>4990.38</v>
      </c>
      <c r="T95" s="649">
        <f t="shared" si="60"/>
        <v>0.5685649669881454</v>
      </c>
      <c r="U95" s="472">
        <v>0</v>
      </c>
      <c r="V95" s="649">
        <f t="shared" si="61"/>
        <v>0</v>
      </c>
      <c r="W95" s="472">
        <v>0</v>
      </c>
      <c r="X95" s="649">
        <f t="shared" si="62"/>
        <v>0</v>
      </c>
      <c r="Y95" s="472">
        <v>0</v>
      </c>
      <c r="Z95" s="649">
        <f t="shared" si="63"/>
        <v>0</v>
      </c>
      <c r="AA95" s="472">
        <v>0</v>
      </c>
      <c r="AB95" s="649">
        <f t="shared" si="64"/>
        <v>0</v>
      </c>
      <c r="AC95" s="472">
        <v>0</v>
      </c>
      <c r="AD95" s="649">
        <f t="shared" si="65"/>
        <v>0</v>
      </c>
    </row>
    <row r="96" spans="1:30" ht="11.25" customHeight="1">
      <c r="A96" s="948"/>
      <c r="B96" s="517">
        <v>80</v>
      </c>
      <c r="C96" s="517" t="s">
        <v>1151</v>
      </c>
      <c r="D96" s="621">
        <v>4</v>
      </c>
      <c r="E96" s="482">
        <v>481</v>
      </c>
      <c r="F96" s="621">
        <v>366.2</v>
      </c>
      <c r="G96" s="482">
        <v>291.39999999999998</v>
      </c>
      <c r="H96" s="482">
        <v>36575.269999999997</v>
      </c>
      <c r="I96" s="482">
        <f t="shared" si="66"/>
        <v>37232.869999999995</v>
      </c>
      <c r="J96" s="482">
        <v>0</v>
      </c>
      <c r="K96" s="643">
        <f t="shared" si="57"/>
        <v>0</v>
      </c>
      <c r="L96" s="482">
        <v>7672.84</v>
      </c>
      <c r="M96" s="643">
        <f t="shared" si="57"/>
        <v>0.20607704966068963</v>
      </c>
      <c r="N96" s="517">
        <v>80</v>
      </c>
      <c r="O96" s="500">
        <v>2724.69</v>
      </c>
      <c r="P96" s="643">
        <f t="shared" si="58"/>
        <v>7.3179693104506865E-2</v>
      </c>
      <c r="Q96" s="2177">
        <v>0</v>
      </c>
      <c r="R96" s="643">
        <f t="shared" si="59"/>
        <v>0</v>
      </c>
      <c r="S96" s="482">
        <v>21865.03</v>
      </c>
      <c r="T96" s="643">
        <f t="shared" si="60"/>
        <v>0.58725072765005759</v>
      </c>
      <c r="U96" s="482">
        <v>0</v>
      </c>
      <c r="V96" s="643">
        <f t="shared" si="61"/>
        <v>0</v>
      </c>
      <c r="W96" s="482">
        <v>0</v>
      </c>
      <c r="X96" s="643">
        <f t="shared" si="62"/>
        <v>0</v>
      </c>
      <c r="Y96" s="482">
        <v>4802.16</v>
      </c>
      <c r="Z96" s="643">
        <f t="shared" si="63"/>
        <v>0.12897635879264749</v>
      </c>
      <c r="AA96" s="482">
        <v>168.15</v>
      </c>
      <c r="AB96" s="643">
        <f t="shared" si="64"/>
        <v>4.5161707920984883E-3</v>
      </c>
      <c r="AC96" s="482">
        <v>0</v>
      </c>
      <c r="AD96" s="643">
        <f t="shared" si="65"/>
        <v>0</v>
      </c>
    </row>
    <row r="97" spans="1:30" ht="11.25" customHeight="1">
      <c r="A97" s="948"/>
      <c r="B97" s="518">
        <v>81</v>
      </c>
      <c r="C97" s="518" t="s">
        <v>1152</v>
      </c>
      <c r="D97" s="621">
        <v>3</v>
      </c>
      <c r="E97" s="482">
        <v>850</v>
      </c>
      <c r="F97" s="621">
        <v>1832.76</v>
      </c>
      <c r="G97" s="482">
        <v>0</v>
      </c>
      <c r="H97" s="482">
        <v>37146.65</v>
      </c>
      <c r="I97" s="482">
        <f t="shared" si="66"/>
        <v>38979.410000000003</v>
      </c>
      <c r="J97" s="482">
        <v>0</v>
      </c>
      <c r="K97" s="643">
        <f t="shared" si="57"/>
        <v>0</v>
      </c>
      <c r="L97" s="482">
        <v>4567.07</v>
      </c>
      <c r="M97" s="643">
        <f t="shared" si="57"/>
        <v>0.11716621672826755</v>
      </c>
      <c r="N97" s="518">
        <v>81</v>
      </c>
      <c r="O97" s="500">
        <v>1357.32</v>
      </c>
      <c r="P97" s="643">
        <f t="shared" si="58"/>
        <v>3.4821460868699652E-2</v>
      </c>
      <c r="Q97" s="2185">
        <v>0</v>
      </c>
      <c r="R97" s="643">
        <f t="shared" si="59"/>
        <v>0</v>
      </c>
      <c r="S97" s="482">
        <v>26542.03</v>
      </c>
      <c r="T97" s="643">
        <f t="shared" si="60"/>
        <v>0.68092436494036201</v>
      </c>
      <c r="U97" s="482">
        <v>0</v>
      </c>
      <c r="V97" s="643">
        <f t="shared" si="61"/>
        <v>0</v>
      </c>
      <c r="W97" s="482">
        <v>0</v>
      </c>
      <c r="X97" s="643">
        <f t="shared" si="62"/>
        <v>0</v>
      </c>
      <c r="Y97" s="482">
        <v>6368.17</v>
      </c>
      <c r="Z97" s="643">
        <f t="shared" si="63"/>
        <v>0.16337266264420111</v>
      </c>
      <c r="AA97" s="482">
        <v>144.82000000000002</v>
      </c>
      <c r="AB97" s="643">
        <f t="shared" si="64"/>
        <v>3.7152948184695461E-3</v>
      </c>
      <c r="AC97" s="482">
        <v>731.33</v>
      </c>
      <c r="AD97" s="643">
        <f t="shared" si="65"/>
        <v>1.8761956633001883E-2</v>
      </c>
    </row>
    <row r="98" spans="1:30" ht="11.25" customHeight="1">
      <c r="A98" s="948"/>
      <c r="B98" s="518">
        <v>82</v>
      </c>
      <c r="C98" s="518" t="s">
        <v>1153</v>
      </c>
      <c r="D98" s="623">
        <v>2</v>
      </c>
      <c r="E98" s="472">
        <v>212</v>
      </c>
      <c r="F98" s="623">
        <v>492.92</v>
      </c>
      <c r="G98" s="472">
        <v>439.61</v>
      </c>
      <c r="H98" s="472">
        <v>27971.46</v>
      </c>
      <c r="I98" s="472">
        <f t="shared" si="66"/>
        <v>28903.989999999998</v>
      </c>
      <c r="J98" s="472">
        <v>0</v>
      </c>
      <c r="K98" s="649">
        <f t="shared" si="57"/>
        <v>0</v>
      </c>
      <c r="L98" s="472">
        <v>14642.94</v>
      </c>
      <c r="M98" s="649">
        <f t="shared" si="57"/>
        <v>0.50660618136112012</v>
      </c>
      <c r="N98" s="518">
        <v>82</v>
      </c>
      <c r="O98" s="532">
        <v>670.53</v>
      </c>
      <c r="P98" s="649">
        <f t="shared" si="58"/>
        <v>2.3198527262153081E-2</v>
      </c>
      <c r="Q98" s="2185">
        <v>275.32</v>
      </c>
      <c r="R98" s="649">
        <f t="shared" si="59"/>
        <v>9.5253285100084795E-3</v>
      </c>
      <c r="S98" s="472">
        <v>10926.68</v>
      </c>
      <c r="T98" s="649">
        <f t="shared" si="60"/>
        <v>0.37803362096374932</v>
      </c>
      <c r="U98" s="472">
        <v>0</v>
      </c>
      <c r="V98" s="649">
        <f t="shared" si="61"/>
        <v>0</v>
      </c>
      <c r="W98" s="472">
        <v>0</v>
      </c>
      <c r="X98" s="649">
        <f t="shared" si="62"/>
        <v>0</v>
      </c>
      <c r="Y98" s="472">
        <v>2130.37</v>
      </c>
      <c r="Z98" s="649">
        <f t="shared" si="63"/>
        <v>7.3705049026103323E-2</v>
      </c>
      <c r="AA98" s="472">
        <v>258.14999999999998</v>
      </c>
      <c r="AB98" s="649">
        <f t="shared" si="64"/>
        <v>8.9312928768657887E-3</v>
      </c>
      <c r="AC98" s="472">
        <v>0</v>
      </c>
      <c r="AD98" s="649">
        <f t="shared" si="65"/>
        <v>0</v>
      </c>
    </row>
    <row r="99" spans="1:30" ht="11.25" customHeight="1">
      <c r="A99" s="948"/>
      <c r="B99" s="518">
        <v>83</v>
      </c>
      <c r="C99" s="518" t="s">
        <v>1154</v>
      </c>
      <c r="D99" s="623">
        <v>10</v>
      </c>
      <c r="E99" s="472">
        <v>1653</v>
      </c>
      <c r="F99" s="623">
        <v>1833.19</v>
      </c>
      <c r="G99" s="472">
        <v>2490.75</v>
      </c>
      <c r="H99" s="472">
        <v>61431.87</v>
      </c>
      <c r="I99" s="472">
        <f t="shared" si="66"/>
        <v>65755.81</v>
      </c>
      <c r="J99" s="472">
        <v>0</v>
      </c>
      <c r="K99" s="649">
        <f t="shared" si="57"/>
        <v>0</v>
      </c>
      <c r="L99" s="472">
        <v>16195.439999999999</v>
      </c>
      <c r="M99" s="649">
        <f t="shared" si="57"/>
        <v>0.24629671507354253</v>
      </c>
      <c r="N99" s="518">
        <v>83</v>
      </c>
      <c r="O99" s="532">
        <v>3717.38</v>
      </c>
      <c r="P99" s="649">
        <f t="shared" si="58"/>
        <v>5.6533103310566782E-2</v>
      </c>
      <c r="Q99" s="2185">
        <v>0</v>
      </c>
      <c r="R99" s="649">
        <f t="shared" si="59"/>
        <v>0</v>
      </c>
      <c r="S99" s="472">
        <v>42545.619999999995</v>
      </c>
      <c r="T99" s="649">
        <f t="shared" si="60"/>
        <v>0.64702449867167622</v>
      </c>
      <c r="U99" s="472">
        <v>0</v>
      </c>
      <c r="V99" s="649">
        <f t="shared" si="61"/>
        <v>0</v>
      </c>
      <c r="W99" s="472">
        <v>0</v>
      </c>
      <c r="X99" s="649">
        <f t="shared" si="62"/>
        <v>0</v>
      </c>
      <c r="Y99" s="472">
        <v>2964.96</v>
      </c>
      <c r="Z99" s="649">
        <f t="shared" si="63"/>
        <v>4.5090464249470885E-2</v>
      </c>
      <c r="AA99" s="472">
        <v>332.41</v>
      </c>
      <c r="AB99" s="649">
        <f t="shared" si="64"/>
        <v>5.0552186947434765E-3</v>
      </c>
      <c r="AC99" s="472">
        <v>0</v>
      </c>
      <c r="AD99" s="649">
        <f t="shared" si="65"/>
        <v>0</v>
      </c>
    </row>
    <row r="100" spans="1:30" ht="11.25" customHeight="1">
      <c r="A100" s="948"/>
      <c r="B100" s="518">
        <v>84</v>
      </c>
      <c r="C100" s="518" t="s">
        <v>1155</v>
      </c>
      <c r="D100" s="623">
        <v>2</v>
      </c>
      <c r="E100" s="472">
        <v>417</v>
      </c>
      <c r="F100" s="623">
        <v>159.6</v>
      </c>
      <c r="G100" s="472">
        <v>1121.6300000000001</v>
      </c>
      <c r="H100" s="472">
        <v>1497.32</v>
      </c>
      <c r="I100" s="472">
        <f t="shared" si="66"/>
        <v>2778.55</v>
      </c>
      <c r="J100" s="472">
        <v>0</v>
      </c>
      <c r="K100" s="649">
        <f t="shared" si="57"/>
        <v>0</v>
      </c>
      <c r="L100" s="472">
        <v>2406.06</v>
      </c>
      <c r="M100" s="649">
        <f t="shared" si="57"/>
        <v>0.86594086843857399</v>
      </c>
      <c r="N100" s="518">
        <v>84</v>
      </c>
      <c r="O100" s="532">
        <v>0</v>
      </c>
      <c r="P100" s="649">
        <f t="shared" si="58"/>
        <v>0</v>
      </c>
      <c r="Q100" s="2185">
        <v>0</v>
      </c>
      <c r="R100" s="649">
        <f t="shared" si="59"/>
        <v>0</v>
      </c>
      <c r="S100" s="472">
        <v>372.49</v>
      </c>
      <c r="T100" s="649">
        <f t="shared" si="60"/>
        <v>0.13405913156142593</v>
      </c>
      <c r="U100" s="472">
        <v>0</v>
      </c>
      <c r="V100" s="649">
        <f t="shared" si="61"/>
        <v>0</v>
      </c>
      <c r="W100" s="472">
        <v>0</v>
      </c>
      <c r="X100" s="649">
        <f t="shared" si="62"/>
        <v>0</v>
      </c>
      <c r="Y100" s="472">
        <v>0</v>
      </c>
      <c r="Z100" s="649">
        <f t="shared" si="63"/>
        <v>0</v>
      </c>
      <c r="AA100" s="472">
        <v>0</v>
      </c>
      <c r="AB100" s="649">
        <f t="shared" si="64"/>
        <v>0</v>
      </c>
      <c r="AC100" s="472">
        <v>0</v>
      </c>
      <c r="AD100" s="649">
        <f t="shared" si="65"/>
        <v>0</v>
      </c>
    </row>
    <row r="101" spans="1:30" ht="11.25" customHeight="1">
      <c r="A101" s="948"/>
      <c r="B101" s="521">
        <v>85</v>
      </c>
      <c r="C101" s="521" t="s">
        <v>1156</v>
      </c>
      <c r="D101" s="622">
        <v>3</v>
      </c>
      <c r="E101" s="478">
        <v>531</v>
      </c>
      <c r="F101" s="622">
        <v>907</v>
      </c>
      <c r="G101" s="478">
        <v>960</v>
      </c>
      <c r="H101" s="478">
        <v>13807</v>
      </c>
      <c r="I101" s="478">
        <f t="shared" si="66"/>
        <v>15674</v>
      </c>
      <c r="J101" s="478">
        <v>975</v>
      </c>
      <c r="K101" s="644">
        <f t="shared" si="57"/>
        <v>6.2204925354089578E-2</v>
      </c>
      <c r="L101" s="478">
        <v>936</v>
      </c>
      <c r="M101" s="644">
        <f t="shared" si="57"/>
        <v>5.9716728339925994E-2</v>
      </c>
      <c r="N101" s="521">
        <v>85</v>
      </c>
      <c r="O101" s="486">
        <v>29</v>
      </c>
      <c r="P101" s="644">
        <f t="shared" si="58"/>
        <v>1.8501977797626642E-3</v>
      </c>
      <c r="Q101" s="2176">
        <v>0</v>
      </c>
      <c r="R101" s="644">
        <f t="shared" si="59"/>
        <v>0</v>
      </c>
      <c r="S101" s="478">
        <v>13734</v>
      </c>
      <c r="T101" s="644">
        <f t="shared" si="60"/>
        <v>0.87622814852622177</v>
      </c>
      <c r="U101" s="478">
        <v>0</v>
      </c>
      <c r="V101" s="644">
        <f t="shared" si="61"/>
        <v>0</v>
      </c>
      <c r="W101" s="478">
        <v>0</v>
      </c>
      <c r="X101" s="644">
        <f t="shared" si="62"/>
        <v>0</v>
      </c>
      <c r="Y101" s="478">
        <v>0</v>
      </c>
      <c r="Z101" s="644">
        <f t="shared" si="63"/>
        <v>0</v>
      </c>
      <c r="AA101" s="478">
        <v>0</v>
      </c>
      <c r="AB101" s="644">
        <f t="shared" si="64"/>
        <v>0</v>
      </c>
      <c r="AC101" s="478">
        <v>0</v>
      </c>
      <c r="AD101" s="644">
        <f t="shared" si="65"/>
        <v>0</v>
      </c>
    </row>
    <row r="102" spans="1:30" ht="11.25" customHeight="1">
      <c r="A102" s="948"/>
      <c r="B102" s="535">
        <v>86</v>
      </c>
      <c r="C102" s="535" t="s">
        <v>1234</v>
      </c>
      <c r="D102" s="619">
        <v>10</v>
      </c>
      <c r="E102" s="491">
        <v>1951</v>
      </c>
      <c r="F102" s="619">
        <v>6248</v>
      </c>
      <c r="G102" s="491">
        <v>6991</v>
      </c>
      <c r="H102" s="491">
        <v>44225</v>
      </c>
      <c r="I102" s="491">
        <f t="shared" si="66"/>
        <v>57464</v>
      </c>
      <c r="J102" s="491">
        <v>0</v>
      </c>
      <c r="K102" s="642">
        <f t="shared" si="57"/>
        <v>0</v>
      </c>
      <c r="L102" s="491">
        <v>23758</v>
      </c>
      <c r="M102" s="642">
        <f t="shared" si="57"/>
        <v>0.41344145900041768</v>
      </c>
      <c r="N102" s="535">
        <v>86</v>
      </c>
      <c r="O102" s="637">
        <v>2499</v>
      </c>
      <c r="P102" s="642">
        <f t="shared" si="58"/>
        <v>4.3488096895447588E-2</v>
      </c>
      <c r="Q102" s="2181">
        <v>0</v>
      </c>
      <c r="R102" s="642">
        <f t="shared" si="59"/>
        <v>0</v>
      </c>
      <c r="S102" s="491">
        <v>23126</v>
      </c>
      <c r="T102" s="642">
        <f t="shared" si="60"/>
        <v>0.40244326882918002</v>
      </c>
      <c r="U102" s="491">
        <v>0</v>
      </c>
      <c r="V102" s="642">
        <f t="shared" si="61"/>
        <v>0</v>
      </c>
      <c r="W102" s="491">
        <v>0</v>
      </c>
      <c r="X102" s="642">
        <f t="shared" si="62"/>
        <v>0</v>
      </c>
      <c r="Y102" s="491">
        <v>8081</v>
      </c>
      <c r="Z102" s="642">
        <f t="shared" si="63"/>
        <v>0.14062717527495475</v>
      </c>
      <c r="AA102" s="491">
        <v>0</v>
      </c>
      <c r="AB102" s="642">
        <f t="shared" si="64"/>
        <v>0</v>
      </c>
      <c r="AC102" s="491">
        <v>10052</v>
      </c>
      <c r="AD102" s="642">
        <f t="shared" si="65"/>
        <v>0.17492691076152025</v>
      </c>
    </row>
    <row r="103" spans="1:30" ht="11.25" customHeight="1">
      <c r="A103" s="948"/>
      <c r="B103" s="517">
        <v>87</v>
      </c>
      <c r="C103" s="517" t="s">
        <v>421</v>
      </c>
      <c r="D103" s="621">
        <v>9</v>
      </c>
      <c r="E103" s="482">
        <v>776</v>
      </c>
      <c r="F103" s="621">
        <v>5693</v>
      </c>
      <c r="G103" s="482">
        <v>5437</v>
      </c>
      <c r="H103" s="482">
        <v>11544</v>
      </c>
      <c r="I103" s="482">
        <f t="shared" si="66"/>
        <v>22674</v>
      </c>
      <c r="J103" s="482">
        <v>0</v>
      </c>
      <c r="K103" s="643">
        <f t="shared" si="57"/>
        <v>0</v>
      </c>
      <c r="L103" s="482">
        <v>0</v>
      </c>
      <c r="M103" s="643">
        <f t="shared" si="57"/>
        <v>0</v>
      </c>
      <c r="N103" s="517">
        <v>87</v>
      </c>
      <c r="O103" s="500">
        <v>1392</v>
      </c>
      <c r="P103" s="643">
        <f t="shared" si="58"/>
        <v>6.1391902619740674E-2</v>
      </c>
      <c r="Q103" s="2177">
        <v>0</v>
      </c>
      <c r="R103" s="643">
        <f t="shared" si="59"/>
        <v>0</v>
      </c>
      <c r="S103" s="482">
        <v>21282</v>
      </c>
      <c r="T103" s="643">
        <f t="shared" si="60"/>
        <v>0.9386080973802593</v>
      </c>
      <c r="U103" s="482">
        <v>0</v>
      </c>
      <c r="V103" s="643">
        <f t="shared" si="61"/>
        <v>0</v>
      </c>
      <c r="W103" s="482">
        <v>0</v>
      </c>
      <c r="X103" s="643">
        <f t="shared" si="62"/>
        <v>0</v>
      </c>
      <c r="Y103" s="482">
        <v>0</v>
      </c>
      <c r="Z103" s="643">
        <f t="shared" si="63"/>
        <v>0</v>
      </c>
      <c r="AA103" s="482">
        <v>0</v>
      </c>
      <c r="AB103" s="643">
        <f t="shared" si="64"/>
        <v>0</v>
      </c>
      <c r="AC103" s="482">
        <v>0</v>
      </c>
      <c r="AD103" s="643">
        <f t="shared" si="65"/>
        <v>0</v>
      </c>
    </row>
    <row r="104" spans="1:30" ht="11.25" customHeight="1">
      <c r="A104" s="948"/>
      <c r="B104" s="518">
        <v>88</v>
      </c>
      <c r="C104" s="518" t="s">
        <v>1158</v>
      </c>
      <c r="D104" s="623">
        <v>1</v>
      </c>
      <c r="E104" s="472">
        <v>23</v>
      </c>
      <c r="F104" s="623">
        <v>1700</v>
      </c>
      <c r="G104" s="472">
        <v>0</v>
      </c>
      <c r="H104" s="472">
        <v>2335</v>
      </c>
      <c r="I104" s="472">
        <f t="shared" si="66"/>
        <v>4035</v>
      </c>
      <c r="J104" s="472">
        <v>0</v>
      </c>
      <c r="K104" s="649">
        <f t="shared" si="57"/>
        <v>0</v>
      </c>
      <c r="L104" s="472">
        <v>0</v>
      </c>
      <c r="M104" s="649">
        <f t="shared" si="57"/>
        <v>0</v>
      </c>
      <c r="N104" s="518">
        <v>88</v>
      </c>
      <c r="O104" s="532">
        <v>84</v>
      </c>
      <c r="P104" s="649">
        <f t="shared" si="58"/>
        <v>2.0817843866171002E-2</v>
      </c>
      <c r="Q104" s="2185">
        <v>0</v>
      </c>
      <c r="R104" s="649">
        <f t="shared" si="59"/>
        <v>0</v>
      </c>
      <c r="S104" s="472">
        <v>2789</v>
      </c>
      <c r="T104" s="649">
        <f t="shared" si="60"/>
        <v>0.69120198265179678</v>
      </c>
      <c r="U104" s="472">
        <v>0</v>
      </c>
      <c r="V104" s="649">
        <f t="shared" si="61"/>
        <v>0</v>
      </c>
      <c r="W104" s="472">
        <v>0</v>
      </c>
      <c r="X104" s="649">
        <f t="shared" si="62"/>
        <v>0</v>
      </c>
      <c r="Y104" s="472">
        <v>581</v>
      </c>
      <c r="Z104" s="649">
        <f t="shared" si="63"/>
        <v>0.1439900867410161</v>
      </c>
      <c r="AA104" s="472">
        <v>581</v>
      </c>
      <c r="AB104" s="649">
        <f t="shared" si="64"/>
        <v>0.1439900867410161</v>
      </c>
      <c r="AC104" s="472">
        <v>0</v>
      </c>
      <c r="AD104" s="649">
        <f t="shared" si="65"/>
        <v>0</v>
      </c>
    </row>
    <row r="105" spans="1:30" ht="11.25" customHeight="1">
      <c r="A105" s="948"/>
      <c r="B105" s="518">
        <v>89</v>
      </c>
      <c r="C105" s="518" t="s">
        <v>1159</v>
      </c>
      <c r="D105" s="623">
        <v>1</v>
      </c>
      <c r="E105" s="472">
        <v>31</v>
      </c>
      <c r="F105" s="623">
        <v>1520</v>
      </c>
      <c r="G105" s="472">
        <v>0</v>
      </c>
      <c r="H105" s="472">
        <v>3175</v>
      </c>
      <c r="I105" s="472">
        <f t="shared" si="66"/>
        <v>4695</v>
      </c>
      <c r="J105" s="472">
        <v>0</v>
      </c>
      <c r="K105" s="649">
        <f t="shared" si="57"/>
        <v>0</v>
      </c>
      <c r="L105" s="472">
        <v>0</v>
      </c>
      <c r="M105" s="649">
        <f t="shared" si="57"/>
        <v>0</v>
      </c>
      <c r="N105" s="518">
        <v>89</v>
      </c>
      <c r="O105" s="532">
        <v>0</v>
      </c>
      <c r="P105" s="649">
        <f t="shared" si="58"/>
        <v>0</v>
      </c>
      <c r="Q105" s="2185">
        <v>0</v>
      </c>
      <c r="R105" s="649">
        <f t="shared" si="59"/>
        <v>0</v>
      </c>
      <c r="S105" s="472">
        <v>4695</v>
      </c>
      <c r="T105" s="649">
        <f t="shared" si="60"/>
        <v>1</v>
      </c>
      <c r="U105" s="472">
        <v>0</v>
      </c>
      <c r="V105" s="649">
        <f t="shared" si="61"/>
        <v>0</v>
      </c>
      <c r="W105" s="472">
        <v>0</v>
      </c>
      <c r="X105" s="649">
        <f t="shared" si="62"/>
        <v>0</v>
      </c>
      <c r="Y105" s="472">
        <v>0</v>
      </c>
      <c r="Z105" s="649">
        <f t="shared" si="63"/>
        <v>0</v>
      </c>
      <c r="AA105" s="472">
        <v>0</v>
      </c>
      <c r="AB105" s="649">
        <f t="shared" si="64"/>
        <v>0</v>
      </c>
      <c r="AC105" s="472">
        <v>0</v>
      </c>
      <c r="AD105" s="649">
        <f t="shared" si="65"/>
        <v>0</v>
      </c>
    </row>
    <row r="106" spans="1:30" ht="11.25" customHeight="1">
      <c r="A106" s="948"/>
      <c r="B106" s="521">
        <v>90</v>
      </c>
      <c r="C106" s="521" t="s">
        <v>1160</v>
      </c>
      <c r="D106" s="645">
        <v>6</v>
      </c>
      <c r="E106" s="473">
        <v>1609</v>
      </c>
      <c r="F106" s="645">
        <v>3545</v>
      </c>
      <c r="G106" s="473">
        <v>6881</v>
      </c>
      <c r="H106" s="473">
        <v>16107</v>
      </c>
      <c r="I106" s="473">
        <f t="shared" si="66"/>
        <v>26533</v>
      </c>
      <c r="J106" s="473">
        <v>0</v>
      </c>
      <c r="K106" s="646">
        <f t="shared" si="57"/>
        <v>0</v>
      </c>
      <c r="L106" s="473">
        <v>0</v>
      </c>
      <c r="M106" s="646">
        <f t="shared" si="57"/>
        <v>0</v>
      </c>
      <c r="N106" s="521">
        <v>90</v>
      </c>
      <c r="O106" s="581">
        <v>4781</v>
      </c>
      <c r="P106" s="646">
        <f t="shared" si="58"/>
        <v>0.18019070591339087</v>
      </c>
      <c r="Q106" s="2176">
        <v>4230</v>
      </c>
      <c r="R106" s="646">
        <f t="shared" si="59"/>
        <v>0.1594241133682584</v>
      </c>
      <c r="S106" s="473">
        <v>17522</v>
      </c>
      <c r="T106" s="646">
        <f t="shared" si="60"/>
        <v>0.66038518071835073</v>
      </c>
      <c r="U106" s="473">
        <v>0</v>
      </c>
      <c r="V106" s="646">
        <f t="shared" si="61"/>
        <v>0</v>
      </c>
      <c r="W106" s="473">
        <v>0</v>
      </c>
      <c r="X106" s="646">
        <f t="shared" si="62"/>
        <v>0</v>
      </c>
      <c r="Y106" s="473">
        <v>0</v>
      </c>
      <c r="Z106" s="646">
        <f t="shared" si="63"/>
        <v>0</v>
      </c>
      <c r="AA106" s="473">
        <v>0</v>
      </c>
      <c r="AB106" s="646">
        <f t="shared" si="64"/>
        <v>0</v>
      </c>
      <c r="AC106" s="473">
        <v>0</v>
      </c>
      <c r="AD106" s="646">
        <f t="shared" si="65"/>
        <v>0</v>
      </c>
    </row>
    <row r="107" spans="1:30" ht="11.25" customHeight="1" thickBot="1">
      <c r="A107" s="948"/>
      <c r="B107" s="535">
        <v>91</v>
      </c>
      <c r="C107" s="535" t="s">
        <v>422</v>
      </c>
      <c r="D107" s="619">
        <v>9</v>
      </c>
      <c r="E107" s="491">
        <v>1800</v>
      </c>
      <c r="F107" s="619">
        <v>10375</v>
      </c>
      <c r="G107" s="491">
        <v>2686</v>
      </c>
      <c r="H107" s="491">
        <v>57623</v>
      </c>
      <c r="I107" s="491">
        <f t="shared" si="66"/>
        <v>70684</v>
      </c>
      <c r="J107" s="491">
        <v>0</v>
      </c>
      <c r="K107" s="642">
        <f t="shared" si="57"/>
        <v>0</v>
      </c>
      <c r="L107" s="491">
        <v>23177</v>
      </c>
      <c r="M107" s="642">
        <f t="shared" si="57"/>
        <v>0.32789598777658308</v>
      </c>
      <c r="N107" s="535">
        <v>91</v>
      </c>
      <c r="O107" s="637">
        <v>1719</v>
      </c>
      <c r="P107" s="642">
        <f t="shared" si="58"/>
        <v>2.4319506536132646E-2</v>
      </c>
      <c r="Q107" s="2186">
        <v>743</v>
      </c>
      <c r="R107" s="642">
        <f t="shared" si="59"/>
        <v>1.0511572633127724E-2</v>
      </c>
      <c r="S107" s="491">
        <v>36094</v>
      </c>
      <c r="T107" s="642">
        <f t="shared" si="60"/>
        <v>0.51063889989247924</v>
      </c>
      <c r="U107" s="491">
        <v>0</v>
      </c>
      <c r="V107" s="642">
        <f t="shared" si="61"/>
        <v>0</v>
      </c>
      <c r="W107" s="491">
        <v>0</v>
      </c>
      <c r="X107" s="642">
        <f t="shared" si="62"/>
        <v>0</v>
      </c>
      <c r="Y107" s="491">
        <v>8708</v>
      </c>
      <c r="Z107" s="642">
        <f t="shared" si="63"/>
        <v>0.12319619715918737</v>
      </c>
      <c r="AA107" s="491">
        <v>243</v>
      </c>
      <c r="AB107" s="642">
        <f t="shared" si="64"/>
        <v>3.4378360024899554E-3</v>
      </c>
      <c r="AC107" s="491">
        <v>10066</v>
      </c>
      <c r="AD107" s="642">
        <f t="shared" si="65"/>
        <v>0.14240846584799954</v>
      </c>
    </row>
    <row r="108" spans="1:30" ht="11.25" customHeight="1" thickTop="1">
      <c r="A108" s="948"/>
      <c r="B108" s="502"/>
      <c r="C108" s="536" t="s">
        <v>34</v>
      </c>
      <c r="D108" s="650">
        <f>SUM(D89:D107)</f>
        <v>135</v>
      </c>
      <c r="E108" s="650">
        <f t="shared" ref="E108:J108" si="67">SUM(E89:E107)</f>
        <v>18594</v>
      </c>
      <c r="F108" s="650">
        <f t="shared" si="67"/>
        <v>59458.62999999999</v>
      </c>
      <c r="G108" s="650">
        <f t="shared" si="67"/>
        <v>41964.9</v>
      </c>
      <c r="H108" s="650">
        <f t="shared" si="67"/>
        <v>534177.73</v>
      </c>
      <c r="I108" s="650">
        <f t="shared" si="67"/>
        <v>635601.26</v>
      </c>
      <c r="J108" s="650">
        <f t="shared" si="67"/>
        <v>1487</v>
      </c>
      <c r="K108" s="663">
        <f t="shared" si="57"/>
        <v>2.3395170739592304E-3</v>
      </c>
      <c r="L108" s="664">
        <f>SUM(L89:L107)</f>
        <v>136762.13</v>
      </c>
      <c r="M108" s="663">
        <f t="shared" si="57"/>
        <v>0.21516969617083517</v>
      </c>
      <c r="N108" s="502"/>
      <c r="O108" s="650">
        <f>SUM(O89:O107)</f>
        <v>25258.62</v>
      </c>
      <c r="P108" s="663">
        <f t="shared" si="58"/>
        <v>3.973972612955487E-2</v>
      </c>
      <c r="Q108" s="664">
        <f>SUM(Q89:Q107)</f>
        <v>5259.32</v>
      </c>
      <c r="R108" s="663">
        <f t="shared" si="59"/>
        <v>8.2745588012207525E-3</v>
      </c>
      <c r="S108" s="664">
        <f>SUM(S89:S107)</f>
        <v>372281.45999999996</v>
      </c>
      <c r="T108" s="663">
        <f t="shared" si="60"/>
        <v>0.58571542164658386</v>
      </c>
      <c r="U108" s="664">
        <f>SUM(U89:U107)</f>
        <v>0</v>
      </c>
      <c r="V108" s="663">
        <f t="shared" si="61"/>
        <v>0</v>
      </c>
      <c r="W108" s="664">
        <f>SUM(W89:W107)</f>
        <v>0</v>
      </c>
      <c r="X108" s="663">
        <f t="shared" si="62"/>
        <v>0</v>
      </c>
      <c r="Y108" s="664">
        <f>SUM(Y89:Y107)</f>
        <v>62043.32</v>
      </c>
      <c r="Z108" s="663">
        <f t="shared" si="63"/>
        <v>9.7613588745875043E-2</v>
      </c>
      <c r="AA108" s="664">
        <f>SUM(AA89:AA107)</f>
        <v>32509.410000000003</v>
      </c>
      <c r="AB108" s="663">
        <f t="shared" si="64"/>
        <v>5.1147491431971046E-2</v>
      </c>
      <c r="AC108" s="664">
        <f>SUM(AC89:AC107)</f>
        <v>65258.79</v>
      </c>
      <c r="AD108" s="663">
        <f t="shared" si="65"/>
        <v>0.10267253088831196</v>
      </c>
    </row>
    <row r="109" spans="1:30" ht="11.25" customHeight="1">
      <c r="A109" s="949"/>
      <c r="B109" s="509"/>
      <c r="C109" s="537"/>
      <c r="D109" s="652"/>
      <c r="E109" s="653"/>
      <c r="F109" s="2173"/>
      <c r="G109" s="653"/>
      <c r="H109" s="653"/>
      <c r="I109" s="653"/>
      <c r="J109" s="658"/>
      <c r="K109" s="659"/>
      <c r="L109" s="658"/>
      <c r="M109" s="660"/>
      <c r="N109" s="509"/>
      <c r="O109" s="2180"/>
      <c r="P109" s="659"/>
      <c r="Q109" s="658"/>
      <c r="R109" s="659"/>
      <c r="S109" s="658"/>
      <c r="T109" s="659"/>
      <c r="U109" s="658"/>
      <c r="V109" s="659"/>
      <c r="W109" s="658"/>
      <c r="X109" s="659"/>
      <c r="Y109" s="658"/>
      <c r="Z109" s="659"/>
      <c r="AA109" s="658"/>
      <c r="AB109" s="659"/>
      <c r="AC109" s="658"/>
      <c r="AD109" s="659"/>
    </row>
    <row r="110" spans="1:30" ht="11.25" customHeight="1">
      <c r="A110" s="948" t="s">
        <v>820</v>
      </c>
      <c r="B110" s="518">
        <v>92</v>
      </c>
      <c r="C110" s="521" t="s">
        <v>1161</v>
      </c>
      <c r="D110" s="622">
        <v>1</v>
      </c>
      <c r="E110" s="478">
        <v>45</v>
      </c>
      <c r="F110" s="622">
        <v>100</v>
      </c>
      <c r="G110" s="478">
        <v>0</v>
      </c>
      <c r="H110" s="478">
        <v>1500</v>
      </c>
      <c r="I110" s="478">
        <f t="shared" ref="I110:I116" si="68">SUM(F110:H110)</f>
        <v>1600</v>
      </c>
      <c r="J110" s="478">
        <v>0</v>
      </c>
      <c r="K110" s="644">
        <f t="shared" ref="K110:M117" si="69">J110/$I110</f>
        <v>0</v>
      </c>
      <c r="L110" s="478">
        <v>0</v>
      </c>
      <c r="M110" s="644">
        <f t="shared" si="69"/>
        <v>0</v>
      </c>
      <c r="N110" s="518">
        <v>92</v>
      </c>
      <c r="O110" s="486">
        <v>0</v>
      </c>
      <c r="P110" s="644">
        <f t="shared" ref="P110:P117" si="70">O110/$I110</f>
        <v>0</v>
      </c>
      <c r="Q110" s="478">
        <v>0</v>
      </c>
      <c r="R110" s="644">
        <f t="shared" ref="R110:R117" si="71">Q110/$I110</f>
        <v>0</v>
      </c>
      <c r="S110" s="478">
        <v>1600</v>
      </c>
      <c r="T110" s="644">
        <f t="shared" ref="T110:T117" si="72">S110/$I110</f>
        <v>1</v>
      </c>
      <c r="U110" s="478">
        <v>0</v>
      </c>
      <c r="V110" s="644">
        <f t="shared" ref="V110:V117" si="73">U110/$I110</f>
        <v>0</v>
      </c>
      <c r="W110" s="478">
        <v>0</v>
      </c>
      <c r="X110" s="644">
        <f t="shared" ref="X110:X117" si="74">W110/$I110</f>
        <v>0</v>
      </c>
      <c r="Y110" s="478">
        <v>0</v>
      </c>
      <c r="Z110" s="644">
        <f t="shared" ref="Z110:Z117" si="75">Y110/$I110</f>
        <v>0</v>
      </c>
      <c r="AA110" s="478">
        <v>0</v>
      </c>
      <c r="AB110" s="644">
        <f t="shared" ref="AB110:AB117" si="76">AA110/$I110</f>
        <v>0</v>
      </c>
      <c r="AC110" s="478">
        <v>0</v>
      </c>
      <c r="AD110" s="644">
        <f t="shared" ref="AD110:AD117" si="77">AC110/$I110</f>
        <v>0</v>
      </c>
    </row>
    <row r="111" spans="1:30" ht="11.25" customHeight="1">
      <c r="A111" s="948"/>
      <c r="B111" s="535">
        <v>93</v>
      </c>
      <c r="C111" s="535" t="s">
        <v>1162</v>
      </c>
      <c r="D111" s="620">
        <v>2</v>
      </c>
      <c r="E111" s="495">
        <v>240</v>
      </c>
      <c r="F111" s="620">
        <v>0</v>
      </c>
      <c r="G111" s="495">
        <v>0</v>
      </c>
      <c r="H111" s="495">
        <v>3492</v>
      </c>
      <c r="I111" s="495">
        <f t="shared" si="68"/>
        <v>3492</v>
      </c>
      <c r="J111" s="495">
        <v>0</v>
      </c>
      <c r="K111" s="648">
        <f t="shared" si="69"/>
        <v>0</v>
      </c>
      <c r="L111" s="495">
        <v>0</v>
      </c>
      <c r="M111" s="648">
        <f t="shared" si="69"/>
        <v>0</v>
      </c>
      <c r="N111" s="535">
        <v>93</v>
      </c>
      <c r="O111" s="589">
        <v>0</v>
      </c>
      <c r="P111" s="648">
        <f t="shared" si="70"/>
        <v>0</v>
      </c>
      <c r="Q111" s="495">
        <v>0</v>
      </c>
      <c r="R111" s="648">
        <f t="shared" si="71"/>
        <v>0</v>
      </c>
      <c r="S111" s="495">
        <v>3492</v>
      </c>
      <c r="T111" s="648">
        <f t="shared" si="72"/>
        <v>1</v>
      </c>
      <c r="U111" s="495">
        <v>0</v>
      </c>
      <c r="V111" s="648">
        <f t="shared" si="73"/>
        <v>0</v>
      </c>
      <c r="W111" s="495">
        <v>0</v>
      </c>
      <c r="X111" s="648">
        <f t="shared" si="74"/>
        <v>0</v>
      </c>
      <c r="Y111" s="495">
        <v>0</v>
      </c>
      <c r="Z111" s="648">
        <f t="shared" si="75"/>
        <v>0</v>
      </c>
      <c r="AA111" s="495">
        <v>0</v>
      </c>
      <c r="AB111" s="648">
        <f t="shared" si="76"/>
        <v>0</v>
      </c>
      <c r="AC111" s="495">
        <v>0</v>
      </c>
      <c r="AD111" s="648">
        <f t="shared" si="77"/>
        <v>0</v>
      </c>
    </row>
    <row r="112" spans="1:30" ht="11.25" customHeight="1">
      <c r="A112" s="948"/>
      <c r="B112" s="538">
        <v>94</v>
      </c>
      <c r="C112" s="538" t="s">
        <v>428</v>
      </c>
      <c r="D112" s="626">
        <v>16</v>
      </c>
      <c r="E112" s="488">
        <v>2055</v>
      </c>
      <c r="F112" s="626">
        <v>8710</v>
      </c>
      <c r="G112" s="488">
        <v>3270</v>
      </c>
      <c r="H112" s="488">
        <v>101538</v>
      </c>
      <c r="I112" s="488">
        <f t="shared" si="68"/>
        <v>113518</v>
      </c>
      <c r="J112" s="488">
        <v>0</v>
      </c>
      <c r="K112" s="657">
        <f t="shared" si="69"/>
        <v>0</v>
      </c>
      <c r="L112" s="488">
        <v>8416</v>
      </c>
      <c r="M112" s="657">
        <f t="shared" si="69"/>
        <v>7.4138022163885903E-2</v>
      </c>
      <c r="N112" s="538">
        <v>94</v>
      </c>
      <c r="O112" s="2179">
        <v>0</v>
      </c>
      <c r="P112" s="657">
        <f t="shared" si="70"/>
        <v>0</v>
      </c>
      <c r="Q112" s="488">
        <v>0</v>
      </c>
      <c r="R112" s="657">
        <f t="shared" si="71"/>
        <v>0</v>
      </c>
      <c r="S112" s="488">
        <v>84231</v>
      </c>
      <c r="T112" s="657">
        <f t="shared" si="72"/>
        <v>0.74200567310911048</v>
      </c>
      <c r="U112" s="488">
        <v>0</v>
      </c>
      <c r="V112" s="657">
        <f t="shared" si="73"/>
        <v>0</v>
      </c>
      <c r="W112" s="488">
        <v>0</v>
      </c>
      <c r="X112" s="657">
        <f t="shared" si="74"/>
        <v>0</v>
      </c>
      <c r="Y112" s="488">
        <v>20871</v>
      </c>
      <c r="Z112" s="657">
        <f t="shared" si="75"/>
        <v>0.18385630472700365</v>
      </c>
      <c r="AA112" s="488">
        <v>0</v>
      </c>
      <c r="AB112" s="657">
        <f t="shared" si="76"/>
        <v>0</v>
      </c>
      <c r="AC112" s="488">
        <v>0</v>
      </c>
      <c r="AD112" s="657">
        <f t="shared" si="77"/>
        <v>0</v>
      </c>
    </row>
    <row r="113" spans="1:30" ht="11.25" customHeight="1">
      <c r="A113" s="948"/>
      <c r="B113" s="517">
        <v>95</v>
      </c>
      <c r="C113" s="538" t="s">
        <v>429</v>
      </c>
      <c r="D113" s="619">
        <v>25</v>
      </c>
      <c r="E113" s="491">
        <v>2790</v>
      </c>
      <c r="F113" s="619">
        <v>860</v>
      </c>
      <c r="G113" s="491">
        <v>12072</v>
      </c>
      <c r="H113" s="491">
        <v>33984</v>
      </c>
      <c r="I113" s="491">
        <f t="shared" si="68"/>
        <v>46916</v>
      </c>
      <c r="J113" s="491">
        <v>0</v>
      </c>
      <c r="K113" s="642">
        <f t="shared" si="69"/>
        <v>0</v>
      </c>
      <c r="L113" s="491">
        <v>1403</v>
      </c>
      <c r="M113" s="642">
        <f t="shared" si="69"/>
        <v>2.990451018842186E-2</v>
      </c>
      <c r="N113" s="517">
        <v>95</v>
      </c>
      <c r="O113" s="637">
        <v>3848</v>
      </c>
      <c r="P113" s="642">
        <f t="shared" si="70"/>
        <v>8.2018927444794956E-2</v>
      </c>
      <c r="Q113" s="491">
        <v>0</v>
      </c>
      <c r="R113" s="642">
        <f t="shared" si="71"/>
        <v>0</v>
      </c>
      <c r="S113" s="491">
        <v>39129</v>
      </c>
      <c r="T113" s="642">
        <f t="shared" si="72"/>
        <v>0.83402250831272917</v>
      </c>
      <c r="U113" s="491">
        <v>0</v>
      </c>
      <c r="V113" s="642">
        <f t="shared" si="73"/>
        <v>0</v>
      </c>
      <c r="W113" s="491">
        <v>0</v>
      </c>
      <c r="X113" s="642">
        <f t="shared" si="74"/>
        <v>0</v>
      </c>
      <c r="Y113" s="491">
        <v>2536</v>
      </c>
      <c r="Z113" s="642">
        <f t="shared" si="75"/>
        <v>5.4054054054054057E-2</v>
      </c>
      <c r="AA113" s="491">
        <v>0</v>
      </c>
      <c r="AB113" s="642">
        <f t="shared" si="76"/>
        <v>0</v>
      </c>
      <c r="AC113" s="491">
        <v>0</v>
      </c>
      <c r="AD113" s="642">
        <f t="shared" si="77"/>
        <v>0</v>
      </c>
    </row>
    <row r="114" spans="1:30" ht="11.25" customHeight="1">
      <c r="A114" s="948"/>
      <c r="B114" s="539">
        <v>96</v>
      </c>
      <c r="C114" s="554" t="s">
        <v>1163</v>
      </c>
      <c r="D114" s="627">
        <v>2</v>
      </c>
      <c r="E114" s="467">
        <v>300</v>
      </c>
      <c r="F114" s="627">
        <v>1161</v>
      </c>
      <c r="G114" s="467">
        <v>1699</v>
      </c>
      <c r="H114" s="467">
        <v>7568</v>
      </c>
      <c r="I114" s="467">
        <f t="shared" si="68"/>
        <v>10428</v>
      </c>
      <c r="J114" s="467">
        <v>0</v>
      </c>
      <c r="K114" s="647">
        <f t="shared" si="69"/>
        <v>0</v>
      </c>
      <c r="L114" s="467">
        <v>4538</v>
      </c>
      <c r="M114" s="647">
        <f t="shared" si="69"/>
        <v>0.43517453011123897</v>
      </c>
      <c r="N114" s="539">
        <v>96</v>
      </c>
      <c r="O114" s="471">
        <v>1657</v>
      </c>
      <c r="P114" s="647">
        <f t="shared" si="70"/>
        <v>0.15889911775987725</v>
      </c>
      <c r="Q114" s="467">
        <v>0</v>
      </c>
      <c r="R114" s="647">
        <f t="shared" si="71"/>
        <v>0</v>
      </c>
      <c r="S114" s="467">
        <v>3086</v>
      </c>
      <c r="T114" s="647">
        <f t="shared" si="72"/>
        <v>0.29593402378212502</v>
      </c>
      <c r="U114" s="467">
        <v>0</v>
      </c>
      <c r="V114" s="647">
        <f t="shared" si="73"/>
        <v>0</v>
      </c>
      <c r="W114" s="467">
        <v>0</v>
      </c>
      <c r="X114" s="647">
        <f t="shared" si="74"/>
        <v>0</v>
      </c>
      <c r="Y114" s="467">
        <v>422</v>
      </c>
      <c r="Z114" s="647">
        <f t="shared" si="75"/>
        <v>4.046797084771768E-2</v>
      </c>
      <c r="AA114" s="467">
        <v>725</v>
      </c>
      <c r="AB114" s="647">
        <f t="shared" si="76"/>
        <v>6.952435749904104E-2</v>
      </c>
      <c r="AC114" s="467">
        <v>2079</v>
      </c>
      <c r="AD114" s="647">
        <f t="shared" si="77"/>
        <v>0.19936708860759494</v>
      </c>
    </row>
    <row r="115" spans="1:30" ht="11.25" customHeight="1">
      <c r="A115" s="948"/>
      <c r="B115" s="535">
        <v>97</v>
      </c>
      <c r="C115" s="535" t="s">
        <v>431</v>
      </c>
      <c r="D115" s="619">
        <v>6</v>
      </c>
      <c r="E115" s="491">
        <v>1914</v>
      </c>
      <c r="F115" s="619">
        <v>4017</v>
      </c>
      <c r="G115" s="491">
        <v>0</v>
      </c>
      <c r="H115" s="491">
        <v>39281</v>
      </c>
      <c r="I115" s="491">
        <f t="shared" si="68"/>
        <v>43298</v>
      </c>
      <c r="J115" s="491">
        <v>0</v>
      </c>
      <c r="K115" s="642">
        <f t="shared" si="69"/>
        <v>0</v>
      </c>
      <c r="L115" s="491">
        <v>17363</v>
      </c>
      <c r="M115" s="642">
        <f t="shared" si="69"/>
        <v>0.4010115940690101</v>
      </c>
      <c r="N115" s="535">
        <v>97</v>
      </c>
      <c r="O115" s="637">
        <v>0</v>
      </c>
      <c r="P115" s="642">
        <f t="shared" si="70"/>
        <v>0</v>
      </c>
      <c r="Q115" s="491">
        <v>0</v>
      </c>
      <c r="R115" s="642">
        <f t="shared" si="71"/>
        <v>0</v>
      </c>
      <c r="S115" s="491">
        <v>25333</v>
      </c>
      <c r="T115" s="642">
        <f t="shared" si="72"/>
        <v>0.58508476142085086</v>
      </c>
      <c r="U115" s="491">
        <v>0</v>
      </c>
      <c r="V115" s="642">
        <f t="shared" si="73"/>
        <v>0</v>
      </c>
      <c r="W115" s="491">
        <v>0</v>
      </c>
      <c r="X115" s="642">
        <f t="shared" si="74"/>
        <v>0</v>
      </c>
      <c r="Y115" s="491">
        <v>602</v>
      </c>
      <c r="Z115" s="642">
        <f t="shared" si="75"/>
        <v>1.3903644510139037E-2</v>
      </c>
      <c r="AA115" s="491">
        <v>0</v>
      </c>
      <c r="AB115" s="642">
        <f t="shared" si="76"/>
        <v>0</v>
      </c>
      <c r="AC115" s="491">
        <v>810</v>
      </c>
      <c r="AD115" s="642">
        <f t="shared" si="77"/>
        <v>1.8707561550187074E-2</v>
      </c>
    </row>
    <row r="116" spans="1:30" ht="11.25" customHeight="1" thickBot="1">
      <c r="A116" s="948"/>
      <c r="B116" s="517">
        <v>98</v>
      </c>
      <c r="C116" s="535" t="s">
        <v>1164</v>
      </c>
      <c r="D116" s="619">
        <v>61</v>
      </c>
      <c r="E116" s="491">
        <v>3476</v>
      </c>
      <c r="F116" s="619">
        <v>11934</v>
      </c>
      <c r="G116" s="491">
        <v>21501</v>
      </c>
      <c r="H116" s="491">
        <v>73337</v>
      </c>
      <c r="I116" s="491">
        <f t="shared" si="68"/>
        <v>106772</v>
      </c>
      <c r="J116" s="491">
        <v>27</v>
      </c>
      <c r="K116" s="642">
        <f t="shared" si="69"/>
        <v>2.5287528565541529E-4</v>
      </c>
      <c r="L116" s="491">
        <v>30023</v>
      </c>
      <c r="M116" s="642">
        <f t="shared" si="69"/>
        <v>0.28118795189750123</v>
      </c>
      <c r="N116" s="517">
        <v>98</v>
      </c>
      <c r="O116" s="637">
        <v>6637</v>
      </c>
      <c r="P116" s="642">
        <f t="shared" si="70"/>
        <v>6.2160491514629303E-2</v>
      </c>
      <c r="Q116" s="491">
        <v>0</v>
      </c>
      <c r="R116" s="642">
        <f t="shared" si="71"/>
        <v>0</v>
      </c>
      <c r="S116" s="491">
        <v>64248</v>
      </c>
      <c r="T116" s="642">
        <f t="shared" si="72"/>
        <v>0.60173079084404146</v>
      </c>
      <c r="U116" s="491">
        <v>0</v>
      </c>
      <c r="V116" s="642">
        <f t="shared" si="73"/>
        <v>0</v>
      </c>
      <c r="W116" s="491">
        <v>0</v>
      </c>
      <c r="X116" s="642">
        <f t="shared" si="74"/>
        <v>0</v>
      </c>
      <c r="Y116" s="491">
        <v>5837</v>
      </c>
      <c r="Z116" s="642">
        <f t="shared" si="75"/>
        <v>5.4667890458172552E-2</v>
      </c>
      <c r="AA116" s="491">
        <v>0</v>
      </c>
      <c r="AB116" s="642">
        <f t="shared" si="76"/>
        <v>0</v>
      </c>
      <c r="AC116" s="491">
        <v>2065.6999999999998</v>
      </c>
      <c r="AD116" s="642">
        <f t="shared" si="77"/>
        <v>1.934683250290338E-2</v>
      </c>
    </row>
    <row r="117" spans="1:30" ht="11.25" customHeight="1" thickTop="1">
      <c r="A117" s="948"/>
      <c r="B117" s="502"/>
      <c r="C117" s="631" t="s">
        <v>34</v>
      </c>
      <c r="D117" s="650">
        <f>SUM(D110:D116)</f>
        <v>113</v>
      </c>
      <c r="E117" s="650">
        <f t="shared" ref="E117:J117" si="78">SUM(E110:E116)</f>
        <v>10820</v>
      </c>
      <c r="F117" s="650">
        <f t="shared" si="78"/>
        <v>26782</v>
      </c>
      <c r="G117" s="650">
        <f t="shared" si="78"/>
        <v>38542</v>
      </c>
      <c r="H117" s="650">
        <f t="shared" si="78"/>
        <v>260700</v>
      </c>
      <c r="I117" s="650">
        <f t="shared" si="78"/>
        <v>326024</v>
      </c>
      <c r="J117" s="650">
        <f t="shared" si="78"/>
        <v>27</v>
      </c>
      <c r="K117" s="663">
        <f t="shared" si="69"/>
        <v>8.2815989006944279E-5</v>
      </c>
      <c r="L117" s="664">
        <f>SUM(L110:L116)</f>
        <v>61743</v>
      </c>
      <c r="M117" s="663">
        <f t="shared" si="69"/>
        <v>0.18938176330576889</v>
      </c>
      <c r="N117" s="502"/>
      <c r="O117" s="650">
        <f>SUM(O110:O116)</f>
        <v>12142</v>
      </c>
      <c r="P117" s="663">
        <f t="shared" si="70"/>
        <v>3.7242656982308053E-2</v>
      </c>
      <c r="Q117" s="664">
        <f>SUM(Q110:Q116)</f>
        <v>0</v>
      </c>
      <c r="R117" s="663">
        <f t="shared" si="71"/>
        <v>0</v>
      </c>
      <c r="S117" s="664">
        <f>SUM(S110:S116)</f>
        <v>221119</v>
      </c>
      <c r="T117" s="663">
        <f t="shared" si="72"/>
        <v>0.67822921011950044</v>
      </c>
      <c r="U117" s="664">
        <f>SUM(U110:U116)</f>
        <v>0</v>
      </c>
      <c r="V117" s="663">
        <f t="shared" si="73"/>
        <v>0</v>
      </c>
      <c r="W117" s="664">
        <f>SUM(W110:W116)</f>
        <v>0</v>
      </c>
      <c r="X117" s="663">
        <f t="shared" si="74"/>
        <v>0</v>
      </c>
      <c r="Y117" s="664">
        <f>SUM(Y110:Y116)</f>
        <v>30268</v>
      </c>
      <c r="Z117" s="663">
        <f t="shared" si="75"/>
        <v>9.2839790935636643E-2</v>
      </c>
      <c r="AA117" s="664">
        <f>SUM(AA110:AA116)</f>
        <v>725</v>
      </c>
      <c r="AB117" s="663">
        <f t="shared" si="76"/>
        <v>2.2237626677790593E-3</v>
      </c>
      <c r="AC117" s="664">
        <f>SUM(AC110:AC116)</f>
        <v>4954.7</v>
      </c>
      <c r="AD117" s="663">
        <f t="shared" si="77"/>
        <v>1.5197347434544695E-2</v>
      </c>
    </row>
    <row r="118" spans="1:30" ht="11.25" customHeight="1">
      <c r="A118" s="949"/>
      <c r="B118" s="509"/>
      <c r="C118" s="633"/>
      <c r="D118" s="652"/>
      <c r="E118" s="653"/>
      <c r="F118" s="2173"/>
      <c r="G118" s="653"/>
      <c r="H118" s="653"/>
      <c r="I118" s="653"/>
      <c r="J118" s="658"/>
      <c r="K118" s="659"/>
      <c r="L118" s="658"/>
      <c r="M118" s="660"/>
      <c r="N118" s="509"/>
      <c r="O118" s="2180"/>
      <c r="P118" s="659"/>
      <c r="Q118" s="658"/>
      <c r="R118" s="659"/>
      <c r="S118" s="658"/>
      <c r="T118" s="659"/>
      <c r="U118" s="658"/>
      <c r="V118" s="659"/>
      <c r="W118" s="658"/>
      <c r="X118" s="659"/>
      <c r="Y118" s="658"/>
      <c r="Z118" s="659"/>
      <c r="AA118" s="658"/>
      <c r="AB118" s="659"/>
      <c r="AC118" s="658"/>
      <c r="AD118" s="659"/>
    </row>
    <row r="119" spans="1:30" ht="11.25" customHeight="1">
      <c r="A119" s="951"/>
      <c r="B119" s="567">
        <v>99</v>
      </c>
      <c r="C119" s="568" t="s">
        <v>1166</v>
      </c>
      <c r="D119" s="142">
        <v>29</v>
      </c>
      <c r="E119" s="569">
        <v>2328</v>
      </c>
      <c r="F119" s="630">
        <v>19914.400000000001</v>
      </c>
      <c r="G119" s="569">
        <v>25764.7</v>
      </c>
      <c r="H119" s="569">
        <v>78088.3</v>
      </c>
      <c r="I119" s="569">
        <f t="shared" ref="I119:I125" si="79">SUM(F119:H119)</f>
        <v>123767.40000000001</v>
      </c>
      <c r="J119" s="569">
        <v>10.4</v>
      </c>
      <c r="K119" s="662">
        <f t="shared" ref="K119:M126" si="80">J119/$I119</f>
        <v>8.4028589111510783E-5</v>
      </c>
      <c r="L119" s="569">
        <v>6686.4000000000005</v>
      </c>
      <c r="M119" s="662">
        <f t="shared" si="80"/>
        <v>5.4023919061077473E-2</v>
      </c>
      <c r="N119" s="567">
        <v>99</v>
      </c>
      <c r="O119" s="2184">
        <v>14746.8</v>
      </c>
      <c r="P119" s="662">
        <f t="shared" ref="P119:P126" si="81">O119/$I119</f>
        <v>0.11914930749131029</v>
      </c>
      <c r="Q119" s="569">
        <v>302.39999999999998</v>
      </c>
      <c r="R119" s="662">
        <f t="shared" ref="R119:R126" si="82">Q119/$I119</f>
        <v>2.4432928218577747E-3</v>
      </c>
      <c r="S119" s="569">
        <v>63348</v>
      </c>
      <c r="T119" s="662">
        <f t="shared" ref="T119:T126" si="83">S119/$I119</f>
        <v>0.5118310637534601</v>
      </c>
      <c r="U119" s="569">
        <v>0</v>
      </c>
      <c r="V119" s="662">
        <f t="shared" ref="V119:V126" si="84">U119/$I119</f>
        <v>0</v>
      </c>
      <c r="W119" s="569">
        <v>0</v>
      </c>
      <c r="X119" s="662">
        <f t="shared" ref="X119:X126" si="85">W119/$I119</f>
        <v>0</v>
      </c>
      <c r="Y119" s="569">
        <v>13132.7</v>
      </c>
      <c r="Z119" s="662">
        <f t="shared" ref="Z119:Z126" si="86">Y119/$I119</f>
        <v>0.10610790886776324</v>
      </c>
      <c r="AA119" s="569">
        <v>25540.7</v>
      </c>
      <c r="AB119" s="662">
        <f t="shared" ref="AB119:AB126" si="87">AA119/$I119</f>
        <v>0.20636047941541957</v>
      </c>
      <c r="AC119" s="569">
        <v>23878.5</v>
      </c>
      <c r="AD119" s="662">
        <f t="shared" ref="AD119:AD126" si="88">AC119/$I119</f>
        <v>0.19293044856723174</v>
      </c>
    </row>
    <row r="120" spans="1:30" ht="11.25" customHeight="1">
      <c r="A120" s="951"/>
      <c r="B120" s="517">
        <v>100</v>
      </c>
      <c r="C120" s="568" t="s">
        <v>1167</v>
      </c>
      <c r="D120" s="142">
        <v>1</v>
      </c>
      <c r="E120" s="569">
        <v>150</v>
      </c>
      <c r="F120" s="630">
        <v>0</v>
      </c>
      <c r="G120" s="569">
        <v>500</v>
      </c>
      <c r="H120" s="569">
        <v>1200</v>
      </c>
      <c r="I120" s="569">
        <f t="shared" si="79"/>
        <v>1700</v>
      </c>
      <c r="J120" s="569">
        <v>0</v>
      </c>
      <c r="K120" s="662">
        <f t="shared" si="80"/>
        <v>0</v>
      </c>
      <c r="L120" s="569">
        <v>0</v>
      </c>
      <c r="M120" s="662">
        <f t="shared" si="80"/>
        <v>0</v>
      </c>
      <c r="N120" s="517">
        <v>100</v>
      </c>
      <c r="O120" s="2184">
        <v>0</v>
      </c>
      <c r="P120" s="662">
        <f t="shared" si="81"/>
        <v>0</v>
      </c>
      <c r="Q120" s="569">
        <v>1700</v>
      </c>
      <c r="R120" s="662">
        <f t="shared" si="82"/>
        <v>1</v>
      </c>
      <c r="S120" s="569">
        <v>0</v>
      </c>
      <c r="T120" s="662">
        <f t="shared" si="83"/>
        <v>0</v>
      </c>
      <c r="U120" s="569">
        <v>0</v>
      </c>
      <c r="V120" s="662">
        <f t="shared" si="84"/>
        <v>0</v>
      </c>
      <c r="W120" s="569">
        <v>0</v>
      </c>
      <c r="X120" s="662">
        <f t="shared" si="85"/>
        <v>0</v>
      </c>
      <c r="Y120" s="569">
        <v>0</v>
      </c>
      <c r="Z120" s="662">
        <f t="shared" si="86"/>
        <v>0</v>
      </c>
      <c r="AA120" s="569">
        <v>0</v>
      </c>
      <c r="AB120" s="662">
        <f t="shared" si="87"/>
        <v>0</v>
      </c>
      <c r="AC120" s="569">
        <v>0</v>
      </c>
      <c r="AD120" s="662">
        <f t="shared" si="88"/>
        <v>0</v>
      </c>
    </row>
    <row r="121" spans="1:30" ht="11.25" customHeight="1">
      <c r="A121" s="951"/>
      <c r="B121" s="567">
        <v>101</v>
      </c>
      <c r="C121" s="518" t="s">
        <v>1168</v>
      </c>
      <c r="D121" s="623">
        <v>1</v>
      </c>
      <c r="E121" s="472">
        <v>53</v>
      </c>
      <c r="F121" s="623">
        <v>0</v>
      </c>
      <c r="G121" s="472">
        <v>0</v>
      </c>
      <c r="H121" s="472">
        <v>1553</v>
      </c>
      <c r="I121" s="472">
        <f t="shared" si="79"/>
        <v>1553</v>
      </c>
      <c r="J121" s="472">
        <v>756</v>
      </c>
      <c r="K121" s="649">
        <f t="shared" si="80"/>
        <v>0.48679974243399871</v>
      </c>
      <c r="L121" s="472">
        <v>0</v>
      </c>
      <c r="M121" s="649">
        <f t="shared" si="80"/>
        <v>0</v>
      </c>
      <c r="N121" s="567">
        <v>101</v>
      </c>
      <c r="O121" s="532">
        <v>0</v>
      </c>
      <c r="P121" s="649">
        <f t="shared" si="81"/>
        <v>0</v>
      </c>
      <c r="Q121" s="472">
        <v>0</v>
      </c>
      <c r="R121" s="649">
        <f t="shared" si="82"/>
        <v>0</v>
      </c>
      <c r="S121" s="472">
        <v>797</v>
      </c>
      <c r="T121" s="649">
        <f t="shared" si="83"/>
        <v>0.51320025756600129</v>
      </c>
      <c r="U121" s="472">
        <v>0</v>
      </c>
      <c r="V121" s="649">
        <f t="shared" si="84"/>
        <v>0</v>
      </c>
      <c r="W121" s="472">
        <v>0</v>
      </c>
      <c r="X121" s="649">
        <f t="shared" si="85"/>
        <v>0</v>
      </c>
      <c r="Y121" s="472">
        <v>0</v>
      </c>
      <c r="Z121" s="649">
        <f t="shared" si="86"/>
        <v>0</v>
      </c>
      <c r="AA121" s="472">
        <v>0</v>
      </c>
      <c r="AB121" s="649">
        <f t="shared" si="87"/>
        <v>0</v>
      </c>
      <c r="AC121" s="472">
        <v>0</v>
      </c>
      <c r="AD121" s="649">
        <f t="shared" si="88"/>
        <v>0</v>
      </c>
    </row>
    <row r="122" spans="1:30" ht="11.25" customHeight="1">
      <c r="A122" s="951"/>
      <c r="B122" s="521">
        <v>102</v>
      </c>
      <c r="C122" s="521" t="s">
        <v>1169</v>
      </c>
      <c r="D122" s="622">
        <v>2</v>
      </c>
      <c r="E122" s="478">
        <v>52</v>
      </c>
      <c r="F122" s="622">
        <v>108</v>
      </c>
      <c r="G122" s="478">
        <v>0</v>
      </c>
      <c r="H122" s="478">
        <v>1614</v>
      </c>
      <c r="I122" s="478">
        <f t="shared" si="79"/>
        <v>1722</v>
      </c>
      <c r="J122" s="478">
        <v>0</v>
      </c>
      <c r="K122" s="644">
        <f t="shared" si="80"/>
        <v>0</v>
      </c>
      <c r="L122" s="478">
        <v>0</v>
      </c>
      <c r="M122" s="644">
        <f t="shared" si="80"/>
        <v>0</v>
      </c>
      <c r="N122" s="521">
        <v>102</v>
      </c>
      <c r="O122" s="486">
        <v>0</v>
      </c>
      <c r="P122" s="644">
        <f t="shared" si="81"/>
        <v>0</v>
      </c>
      <c r="Q122" s="478">
        <v>1384</v>
      </c>
      <c r="R122" s="644">
        <f t="shared" si="82"/>
        <v>0.80371660859465732</v>
      </c>
      <c r="S122" s="478">
        <v>0</v>
      </c>
      <c r="T122" s="644">
        <f t="shared" si="83"/>
        <v>0</v>
      </c>
      <c r="U122" s="478">
        <v>0</v>
      </c>
      <c r="V122" s="644">
        <f t="shared" si="84"/>
        <v>0</v>
      </c>
      <c r="W122" s="478">
        <v>0</v>
      </c>
      <c r="X122" s="644">
        <f t="shared" si="85"/>
        <v>0</v>
      </c>
      <c r="Y122" s="478">
        <v>0</v>
      </c>
      <c r="Z122" s="644">
        <f t="shared" si="86"/>
        <v>0</v>
      </c>
      <c r="AA122" s="478">
        <v>338</v>
      </c>
      <c r="AB122" s="644">
        <f t="shared" si="87"/>
        <v>0.19628339140534262</v>
      </c>
      <c r="AC122" s="478">
        <v>0</v>
      </c>
      <c r="AD122" s="644">
        <f t="shared" si="88"/>
        <v>0</v>
      </c>
    </row>
    <row r="123" spans="1:30" ht="11.25" customHeight="1">
      <c r="A123" s="951"/>
      <c r="B123" s="573">
        <v>103</v>
      </c>
      <c r="C123" s="535" t="s">
        <v>1170</v>
      </c>
      <c r="D123" s="619">
        <v>2</v>
      </c>
      <c r="E123" s="491">
        <v>114</v>
      </c>
      <c r="F123" s="619">
        <v>1935</v>
      </c>
      <c r="G123" s="491">
        <v>1267</v>
      </c>
      <c r="H123" s="491">
        <v>15537</v>
      </c>
      <c r="I123" s="491">
        <f t="shared" si="79"/>
        <v>18739</v>
      </c>
      <c r="J123" s="491">
        <v>0</v>
      </c>
      <c r="K123" s="642">
        <f t="shared" si="80"/>
        <v>0</v>
      </c>
      <c r="L123" s="491">
        <v>2609</v>
      </c>
      <c r="M123" s="642">
        <f t="shared" si="80"/>
        <v>0.13922834729708095</v>
      </c>
      <c r="N123" s="573">
        <v>103</v>
      </c>
      <c r="O123" s="637">
        <v>1719</v>
      </c>
      <c r="P123" s="642">
        <f t="shared" si="81"/>
        <v>9.1733817172741344E-2</v>
      </c>
      <c r="Q123" s="491">
        <v>0</v>
      </c>
      <c r="R123" s="642">
        <f t="shared" si="82"/>
        <v>0</v>
      </c>
      <c r="S123" s="491">
        <v>11735</v>
      </c>
      <c r="T123" s="642">
        <f t="shared" si="83"/>
        <v>0.62623405731362403</v>
      </c>
      <c r="U123" s="491">
        <v>0</v>
      </c>
      <c r="V123" s="642">
        <f t="shared" si="84"/>
        <v>0</v>
      </c>
      <c r="W123" s="491">
        <v>0</v>
      </c>
      <c r="X123" s="642">
        <f t="shared" si="85"/>
        <v>0</v>
      </c>
      <c r="Y123" s="491">
        <v>1000</v>
      </c>
      <c r="Z123" s="642">
        <f t="shared" si="86"/>
        <v>5.3364640589145633E-2</v>
      </c>
      <c r="AA123" s="491">
        <v>1676</v>
      </c>
      <c r="AB123" s="642">
        <f t="shared" si="87"/>
        <v>8.9439137627408086E-2</v>
      </c>
      <c r="AC123" s="491">
        <v>0</v>
      </c>
      <c r="AD123" s="642">
        <f t="shared" si="88"/>
        <v>0</v>
      </c>
    </row>
    <row r="124" spans="1:30" ht="11.25" customHeight="1">
      <c r="A124" s="951"/>
      <c r="B124" s="517">
        <v>104</v>
      </c>
      <c r="C124" s="517" t="s">
        <v>1172</v>
      </c>
      <c r="D124" s="621">
        <v>40</v>
      </c>
      <c r="E124" s="482">
        <v>5612</v>
      </c>
      <c r="F124" s="621">
        <v>42742</v>
      </c>
      <c r="G124" s="482">
        <v>15954</v>
      </c>
      <c r="H124" s="482">
        <v>65945</v>
      </c>
      <c r="I124" s="482">
        <f t="shared" si="79"/>
        <v>124641</v>
      </c>
      <c r="J124" s="482">
        <v>0</v>
      </c>
      <c r="K124" s="643">
        <f t="shared" si="80"/>
        <v>0</v>
      </c>
      <c r="L124" s="482">
        <v>28507</v>
      </c>
      <c r="M124" s="643">
        <f t="shared" si="80"/>
        <v>0.22871286334352259</v>
      </c>
      <c r="N124" s="517">
        <v>104</v>
      </c>
      <c r="O124" s="500">
        <v>8948</v>
      </c>
      <c r="P124" s="643">
        <f t="shared" si="81"/>
        <v>7.179018140098363E-2</v>
      </c>
      <c r="Q124" s="482">
        <v>0</v>
      </c>
      <c r="R124" s="643">
        <f t="shared" si="82"/>
        <v>0</v>
      </c>
      <c r="S124" s="482">
        <v>30041</v>
      </c>
      <c r="T124" s="643">
        <f t="shared" si="83"/>
        <v>0.2410202100432442</v>
      </c>
      <c r="U124" s="482">
        <v>0</v>
      </c>
      <c r="V124" s="643">
        <f t="shared" si="84"/>
        <v>0</v>
      </c>
      <c r="W124" s="482">
        <v>0</v>
      </c>
      <c r="X124" s="643">
        <f t="shared" si="85"/>
        <v>0</v>
      </c>
      <c r="Y124" s="482">
        <v>57145</v>
      </c>
      <c r="Z124" s="643">
        <f t="shared" si="86"/>
        <v>0.45847674521224957</v>
      </c>
      <c r="AA124" s="482">
        <v>0</v>
      </c>
      <c r="AB124" s="643">
        <f t="shared" si="87"/>
        <v>0</v>
      </c>
      <c r="AC124" s="482">
        <v>0</v>
      </c>
      <c r="AD124" s="643">
        <f t="shared" si="88"/>
        <v>0</v>
      </c>
    </row>
    <row r="125" spans="1:30" ht="11.25" customHeight="1" thickBot="1">
      <c r="A125" s="951"/>
      <c r="B125" s="567">
        <v>105</v>
      </c>
      <c r="C125" s="518" t="s">
        <v>1173</v>
      </c>
      <c r="D125" s="623">
        <v>1</v>
      </c>
      <c r="E125" s="472">
        <v>30</v>
      </c>
      <c r="F125" s="623">
        <v>0</v>
      </c>
      <c r="G125" s="472">
        <v>0</v>
      </c>
      <c r="H125" s="472">
        <v>1340</v>
      </c>
      <c r="I125" s="472">
        <f t="shared" si="79"/>
        <v>1340</v>
      </c>
      <c r="J125" s="472">
        <v>0</v>
      </c>
      <c r="K125" s="649">
        <f t="shared" si="80"/>
        <v>0</v>
      </c>
      <c r="L125" s="472">
        <v>0</v>
      </c>
      <c r="M125" s="649">
        <f t="shared" si="80"/>
        <v>0</v>
      </c>
      <c r="N125" s="567">
        <v>105</v>
      </c>
      <c r="O125" s="532">
        <v>0</v>
      </c>
      <c r="P125" s="649">
        <f t="shared" si="81"/>
        <v>0</v>
      </c>
      <c r="Q125" s="472">
        <v>0</v>
      </c>
      <c r="R125" s="649">
        <f t="shared" si="82"/>
        <v>0</v>
      </c>
      <c r="S125" s="472">
        <v>0</v>
      </c>
      <c r="T125" s="649">
        <f t="shared" si="83"/>
        <v>0</v>
      </c>
      <c r="U125" s="472">
        <v>0</v>
      </c>
      <c r="V125" s="649">
        <f t="shared" si="84"/>
        <v>0</v>
      </c>
      <c r="W125" s="472">
        <v>0</v>
      </c>
      <c r="X125" s="649">
        <f t="shared" si="85"/>
        <v>0</v>
      </c>
      <c r="Y125" s="472">
        <v>0</v>
      </c>
      <c r="Z125" s="649">
        <f t="shared" si="86"/>
        <v>0</v>
      </c>
      <c r="AA125" s="472">
        <v>1340</v>
      </c>
      <c r="AB125" s="649">
        <f t="shared" si="87"/>
        <v>1</v>
      </c>
      <c r="AC125" s="472">
        <v>0</v>
      </c>
      <c r="AD125" s="649">
        <f t="shared" si="88"/>
        <v>0</v>
      </c>
    </row>
    <row r="126" spans="1:30" ht="11.25" customHeight="1" thickTop="1">
      <c r="A126" s="951"/>
      <c r="B126" s="502"/>
      <c r="C126" s="536" t="s">
        <v>34</v>
      </c>
      <c r="D126" s="650">
        <f t="shared" ref="D126:J126" si="89">SUM(D119:D125)</f>
        <v>76</v>
      </c>
      <c r="E126" s="650">
        <f t="shared" si="89"/>
        <v>8339</v>
      </c>
      <c r="F126" s="650">
        <f t="shared" si="89"/>
        <v>64699.4</v>
      </c>
      <c r="G126" s="650">
        <f t="shared" si="89"/>
        <v>43485.7</v>
      </c>
      <c r="H126" s="650">
        <f t="shared" si="89"/>
        <v>165277.29999999999</v>
      </c>
      <c r="I126" s="650">
        <f t="shared" si="89"/>
        <v>273462.40000000002</v>
      </c>
      <c r="J126" s="650">
        <f t="shared" si="89"/>
        <v>766.4</v>
      </c>
      <c r="K126" s="651">
        <f t="shared" si="80"/>
        <v>2.8025790748563602E-3</v>
      </c>
      <c r="L126" s="650">
        <f>SUM(L119:L125)</f>
        <v>37802.400000000001</v>
      </c>
      <c r="M126" s="651">
        <f t="shared" si="80"/>
        <v>0.13823618896052986</v>
      </c>
      <c r="N126" s="502"/>
      <c r="O126" s="650">
        <f>SUM(O119:O125)</f>
        <v>25413.8</v>
      </c>
      <c r="P126" s="651">
        <f t="shared" si="81"/>
        <v>9.2933434358800318E-2</v>
      </c>
      <c r="Q126" s="650">
        <f>SUM(Q119:Q125)</f>
        <v>3386.4</v>
      </c>
      <c r="R126" s="651">
        <f t="shared" si="82"/>
        <v>1.2383420901740055E-2</v>
      </c>
      <c r="S126" s="650">
        <f>SUM(S119:S125)</f>
        <v>105921</v>
      </c>
      <c r="T126" s="651">
        <f t="shared" si="83"/>
        <v>0.3873329569257053</v>
      </c>
      <c r="U126" s="650">
        <f>SUM(U119:U125)</f>
        <v>0</v>
      </c>
      <c r="V126" s="651">
        <f t="shared" si="84"/>
        <v>0</v>
      </c>
      <c r="W126" s="650">
        <f>SUM(W119:W125)</f>
        <v>0</v>
      </c>
      <c r="X126" s="651">
        <f t="shared" si="85"/>
        <v>0</v>
      </c>
      <c r="Y126" s="650">
        <f>SUM(Y119:Y125)</f>
        <v>71277.7</v>
      </c>
      <c r="Z126" s="651">
        <f t="shared" si="86"/>
        <v>0.26064899598628549</v>
      </c>
      <c r="AA126" s="650">
        <f>SUM(AA119:AA125)</f>
        <v>28894.7</v>
      </c>
      <c r="AB126" s="651">
        <f t="shared" si="87"/>
        <v>0.10566242379208256</v>
      </c>
      <c r="AC126" s="650">
        <f>SUM(AC119:AC125)</f>
        <v>23878.5</v>
      </c>
      <c r="AD126" s="651">
        <f t="shared" si="88"/>
        <v>8.7319134184443634E-2</v>
      </c>
    </row>
    <row r="127" spans="1:30" ht="11.25" customHeight="1">
      <c r="A127" s="952"/>
      <c r="B127" s="509"/>
      <c r="C127" s="537"/>
      <c r="D127" s="652"/>
      <c r="E127" s="653"/>
      <c r="F127" s="2173"/>
      <c r="G127" s="653"/>
      <c r="H127" s="653"/>
      <c r="I127" s="653"/>
      <c r="J127" s="658"/>
      <c r="K127" s="659"/>
      <c r="L127" s="658"/>
      <c r="M127" s="660"/>
      <c r="N127" s="509"/>
      <c r="O127" s="2180"/>
      <c r="P127" s="659"/>
      <c r="Q127" s="658"/>
      <c r="R127" s="659"/>
      <c r="S127" s="658"/>
      <c r="T127" s="659"/>
      <c r="U127" s="658"/>
      <c r="V127" s="659"/>
      <c r="W127" s="658"/>
      <c r="X127" s="659"/>
      <c r="Y127" s="658"/>
      <c r="Z127" s="659"/>
      <c r="AA127" s="658"/>
      <c r="AB127" s="659"/>
      <c r="AC127" s="658"/>
      <c r="AD127" s="659"/>
    </row>
    <row r="128" spans="1:30" ht="11.25" customHeight="1">
      <c r="A128" s="947" t="s">
        <v>1174</v>
      </c>
      <c r="B128" s="517">
        <v>106</v>
      </c>
      <c r="C128" s="517" t="s">
        <v>1175</v>
      </c>
      <c r="D128" s="483" t="s">
        <v>76</v>
      </c>
      <c r="E128" s="483" t="s">
        <v>76</v>
      </c>
      <c r="F128" s="621">
        <v>0</v>
      </c>
      <c r="G128" s="482">
        <v>0</v>
      </c>
      <c r="H128" s="482">
        <v>1800</v>
      </c>
      <c r="I128" s="482">
        <f t="shared" ref="I128:I135" si="90">SUM(F128:H128)</f>
        <v>1800</v>
      </c>
      <c r="J128" s="482">
        <v>0</v>
      </c>
      <c r="K128" s="643">
        <f t="shared" ref="K128:M136" si="91">J128/$I128</f>
        <v>0</v>
      </c>
      <c r="L128" s="482">
        <v>0</v>
      </c>
      <c r="M128" s="643">
        <f t="shared" si="91"/>
        <v>0</v>
      </c>
      <c r="N128" s="517">
        <v>106</v>
      </c>
      <c r="O128" s="500">
        <v>0</v>
      </c>
      <c r="P128" s="643">
        <f t="shared" ref="P128:P136" si="92">O128/$I128</f>
        <v>0</v>
      </c>
      <c r="Q128" s="482">
        <v>0</v>
      </c>
      <c r="R128" s="643">
        <f t="shared" ref="R128:R136" si="93">Q128/$I128</f>
        <v>0</v>
      </c>
      <c r="S128" s="482">
        <v>1800</v>
      </c>
      <c r="T128" s="643">
        <f t="shared" ref="T128:T136" si="94">S128/$I128</f>
        <v>1</v>
      </c>
      <c r="U128" s="482">
        <v>0</v>
      </c>
      <c r="V128" s="643">
        <f t="shared" ref="V128:V136" si="95">U128/$I128</f>
        <v>0</v>
      </c>
      <c r="W128" s="482">
        <v>0</v>
      </c>
      <c r="X128" s="643">
        <f t="shared" ref="X128:X136" si="96">W128/$I128</f>
        <v>0</v>
      </c>
      <c r="Y128" s="482">
        <v>0</v>
      </c>
      <c r="Z128" s="643">
        <f t="shared" ref="Z128:Z136" si="97">Y128/$I128</f>
        <v>0</v>
      </c>
      <c r="AA128" s="482">
        <v>0</v>
      </c>
      <c r="AB128" s="643">
        <f t="shared" ref="AB128:AB136" si="98">AA128/$I128</f>
        <v>0</v>
      </c>
      <c r="AC128" s="482">
        <v>0</v>
      </c>
      <c r="AD128" s="643">
        <f t="shared" ref="AD128:AD136" si="99">AC128/$I128</f>
        <v>0</v>
      </c>
    </row>
    <row r="129" spans="1:30" ht="11.25" customHeight="1">
      <c r="A129" s="948"/>
      <c r="B129" s="586">
        <v>107</v>
      </c>
      <c r="C129" s="635" t="s">
        <v>1176</v>
      </c>
      <c r="D129" s="145">
        <v>1</v>
      </c>
      <c r="E129" s="587">
        <v>620</v>
      </c>
      <c r="F129" s="636">
        <v>550</v>
      </c>
      <c r="G129" s="587">
        <v>0</v>
      </c>
      <c r="H129" s="587">
        <v>2365</v>
      </c>
      <c r="I129" s="587">
        <f t="shared" si="90"/>
        <v>2915</v>
      </c>
      <c r="J129" s="587">
        <v>2365</v>
      </c>
      <c r="K129" s="665">
        <f t="shared" si="91"/>
        <v>0.81132075471698117</v>
      </c>
      <c r="L129" s="587">
        <v>0</v>
      </c>
      <c r="M129" s="665">
        <f t="shared" si="91"/>
        <v>0</v>
      </c>
      <c r="N129" s="586">
        <v>107</v>
      </c>
      <c r="O129" s="2187">
        <v>0</v>
      </c>
      <c r="P129" s="665">
        <f t="shared" si="92"/>
        <v>0</v>
      </c>
      <c r="Q129" s="587">
        <v>0</v>
      </c>
      <c r="R129" s="665">
        <f t="shared" si="93"/>
        <v>0</v>
      </c>
      <c r="S129" s="587">
        <v>550</v>
      </c>
      <c r="T129" s="665">
        <f t="shared" si="94"/>
        <v>0.18867924528301888</v>
      </c>
      <c r="U129" s="587">
        <v>0</v>
      </c>
      <c r="V129" s="665">
        <f t="shared" si="95"/>
        <v>0</v>
      </c>
      <c r="W129" s="587">
        <v>0</v>
      </c>
      <c r="X129" s="665">
        <f t="shared" si="96"/>
        <v>0</v>
      </c>
      <c r="Y129" s="587">
        <v>0</v>
      </c>
      <c r="Z129" s="665">
        <f t="shared" si="97"/>
        <v>0</v>
      </c>
      <c r="AA129" s="587">
        <v>0</v>
      </c>
      <c r="AB129" s="665">
        <f t="shared" si="98"/>
        <v>0</v>
      </c>
      <c r="AC129" s="587">
        <v>0</v>
      </c>
      <c r="AD129" s="665">
        <f t="shared" si="99"/>
        <v>0</v>
      </c>
    </row>
    <row r="130" spans="1:30" ht="11.25" customHeight="1">
      <c r="A130" s="948"/>
      <c r="B130" s="535">
        <v>108</v>
      </c>
      <c r="C130" s="594" t="s">
        <v>1177</v>
      </c>
      <c r="D130" s="595">
        <v>10</v>
      </c>
      <c r="E130" s="574">
        <v>1246</v>
      </c>
      <c r="F130" s="2188">
        <v>7050</v>
      </c>
      <c r="G130" s="574">
        <v>1889</v>
      </c>
      <c r="H130" s="574">
        <v>18272</v>
      </c>
      <c r="I130" s="574">
        <f t="shared" si="90"/>
        <v>27211</v>
      </c>
      <c r="J130" s="574">
        <v>0</v>
      </c>
      <c r="K130" s="666">
        <f t="shared" si="91"/>
        <v>0</v>
      </c>
      <c r="L130" s="574">
        <v>10373</v>
      </c>
      <c r="M130" s="666">
        <f t="shared" si="91"/>
        <v>0.38120612987394803</v>
      </c>
      <c r="N130" s="535">
        <v>108</v>
      </c>
      <c r="O130" s="2189">
        <v>1349</v>
      </c>
      <c r="P130" s="666">
        <f t="shared" si="92"/>
        <v>4.9575539303957958E-2</v>
      </c>
      <c r="Q130" s="574">
        <v>0</v>
      </c>
      <c r="R130" s="666">
        <f t="shared" si="93"/>
        <v>0</v>
      </c>
      <c r="S130" s="574">
        <v>13180</v>
      </c>
      <c r="T130" s="666">
        <f t="shared" si="94"/>
        <v>0.48436294145749881</v>
      </c>
      <c r="U130" s="574">
        <v>0</v>
      </c>
      <c r="V130" s="666">
        <f t="shared" si="95"/>
        <v>0</v>
      </c>
      <c r="W130" s="574">
        <v>0</v>
      </c>
      <c r="X130" s="666">
        <f t="shared" si="96"/>
        <v>0</v>
      </c>
      <c r="Y130" s="574">
        <v>2309</v>
      </c>
      <c r="Z130" s="666">
        <f t="shared" si="97"/>
        <v>8.4855389364595205E-2</v>
      </c>
      <c r="AA130" s="574">
        <v>0</v>
      </c>
      <c r="AB130" s="666">
        <f t="shared" si="98"/>
        <v>0</v>
      </c>
      <c r="AC130" s="574">
        <v>0</v>
      </c>
      <c r="AD130" s="666">
        <f t="shared" si="99"/>
        <v>0</v>
      </c>
    </row>
    <row r="131" spans="1:30" ht="11.25" customHeight="1">
      <c r="A131" s="948"/>
      <c r="B131" s="573">
        <v>109</v>
      </c>
      <c r="C131" s="535" t="s">
        <v>1216</v>
      </c>
      <c r="D131" s="619">
        <v>3</v>
      </c>
      <c r="E131" s="491">
        <v>142</v>
      </c>
      <c r="F131" s="619">
        <v>120</v>
      </c>
      <c r="G131" s="491">
        <v>1285</v>
      </c>
      <c r="H131" s="491">
        <v>4272</v>
      </c>
      <c r="I131" s="491">
        <f t="shared" si="90"/>
        <v>5677</v>
      </c>
      <c r="J131" s="491">
        <v>0</v>
      </c>
      <c r="K131" s="642">
        <f t="shared" si="91"/>
        <v>0</v>
      </c>
      <c r="L131" s="491">
        <v>385</v>
      </c>
      <c r="M131" s="642">
        <f t="shared" si="91"/>
        <v>6.7817509247842175E-2</v>
      </c>
      <c r="N131" s="573">
        <v>109</v>
      </c>
      <c r="O131" s="637">
        <v>0</v>
      </c>
      <c r="P131" s="642">
        <f t="shared" si="92"/>
        <v>0</v>
      </c>
      <c r="Q131" s="491">
        <v>0</v>
      </c>
      <c r="R131" s="642">
        <f t="shared" si="93"/>
        <v>0</v>
      </c>
      <c r="S131" s="491">
        <v>5292</v>
      </c>
      <c r="T131" s="642">
        <f t="shared" si="94"/>
        <v>0.93218249075215787</v>
      </c>
      <c r="U131" s="491">
        <v>0</v>
      </c>
      <c r="V131" s="642">
        <f t="shared" si="95"/>
        <v>0</v>
      </c>
      <c r="W131" s="491">
        <v>0</v>
      </c>
      <c r="X131" s="642">
        <f t="shared" si="96"/>
        <v>0</v>
      </c>
      <c r="Y131" s="491">
        <v>0</v>
      </c>
      <c r="Z131" s="642">
        <f t="shared" si="97"/>
        <v>0</v>
      </c>
      <c r="AA131" s="491">
        <v>0</v>
      </c>
      <c r="AB131" s="642">
        <f t="shared" si="98"/>
        <v>0</v>
      </c>
      <c r="AC131" s="491">
        <v>0</v>
      </c>
      <c r="AD131" s="642">
        <f t="shared" si="99"/>
        <v>0</v>
      </c>
    </row>
    <row r="132" spans="1:30" ht="11.25" customHeight="1">
      <c r="A132" s="948"/>
      <c r="B132" s="535">
        <v>110</v>
      </c>
      <c r="C132" s="535" t="s">
        <v>1179</v>
      </c>
      <c r="D132" s="619">
        <v>1</v>
      </c>
      <c r="E132" s="491">
        <v>13</v>
      </c>
      <c r="F132" s="619">
        <v>0</v>
      </c>
      <c r="G132" s="491">
        <v>0</v>
      </c>
      <c r="H132" s="491">
        <v>820</v>
      </c>
      <c r="I132" s="491">
        <f t="shared" si="90"/>
        <v>820</v>
      </c>
      <c r="J132" s="491">
        <v>0</v>
      </c>
      <c r="K132" s="642">
        <f t="shared" si="91"/>
        <v>0</v>
      </c>
      <c r="L132" s="491">
        <v>0</v>
      </c>
      <c r="M132" s="642">
        <f t="shared" si="91"/>
        <v>0</v>
      </c>
      <c r="N132" s="535">
        <v>110</v>
      </c>
      <c r="O132" s="637">
        <v>0</v>
      </c>
      <c r="P132" s="642">
        <f t="shared" si="92"/>
        <v>0</v>
      </c>
      <c r="Q132" s="491">
        <v>0</v>
      </c>
      <c r="R132" s="642">
        <f t="shared" si="93"/>
        <v>0</v>
      </c>
      <c r="S132" s="491">
        <v>820</v>
      </c>
      <c r="T132" s="642">
        <f t="shared" si="94"/>
        <v>1</v>
      </c>
      <c r="U132" s="491">
        <v>0</v>
      </c>
      <c r="V132" s="642">
        <f t="shared" si="95"/>
        <v>0</v>
      </c>
      <c r="W132" s="491">
        <v>0</v>
      </c>
      <c r="X132" s="642">
        <f t="shared" si="96"/>
        <v>0</v>
      </c>
      <c r="Y132" s="491">
        <v>0</v>
      </c>
      <c r="Z132" s="642">
        <f t="shared" si="97"/>
        <v>0</v>
      </c>
      <c r="AA132" s="491">
        <v>0</v>
      </c>
      <c r="AB132" s="642">
        <f t="shared" si="98"/>
        <v>0</v>
      </c>
      <c r="AC132" s="491">
        <v>0</v>
      </c>
      <c r="AD132" s="642">
        <f t="shared" si="99"/>
        <v>0</v>
      </c>
    </row>
    <row r="133" spans="1:30" ht="11.25" customHeight="1">
      <c r="A133" s="948"/>
      <c r="B133" s="591">
        <v>111</v>
      </c>
      <c r="C133" s="517" t="s">
        <v>1181</v>
      </c>
      <c r="D133" s="621">
        <v>2</v>
      </c>
      <c r="E133" s="482">
        <v>795</v>
      </c>
      <c r="F133" s="621">
        <v>38</v>
      </c>
      <c r="G133" s="482">
        <v>390</v>
      </c>
      <c r="H133" s="482">
        <v>6835</v>
      </c>
      <c r="I133" s="482">
        <f t="shared" si="90"/>
        <v>7263</v>
      </c>
      <c r="J133" s="482">
        <v>0</v>
      </c>
      <c r="K133" s="643">
        <f t="shared" si="91"/>
        <v>0</v>
      </c>
      <c r="L133" s="482">
        <v>6873</v>
      </c>
      <c r="M133" s="643">
        <f t="shared" si="91"/>
        <v>0.94630318050392404</v>
      </c>
      <c r="N133" s="591">
        <v>111</v>
      </c>
      <c r="O133" s="500">
        <v>390</v>
      </c>
      <c r="P133" s="643">
        <f t="shared" si="92"/>
        <v>5.3696819496076E-2</v>
      </c>
      <c r="Q133" s="482">
        <v>0</v>
      </c>
      <c r="R133" s="643">
        <f t="shared" si="93"/>
        <v>0</v>
      </c>
      <c r="S133" s="482">
        <v>0</v>
      </c>
      <c r="T133" s="643">
        <f t="shared" si="94"/>
        <v>0</v>
      </c>
      <c r="U133" s="482">
        <v>0</v>
      </c>
      <c r="V133" s="643">
        <f t="shared" si="95"/>
        <v>0</v>
      </c>
      <c r="W133" s="482">
        <v>0</v>
      </c>
      <c r="X133" s="643">
        <f t="shared" si="96"/>
        <v>0</v>
      </c>
      <c r="Y133" s="482">
        <v>0</v>
      </c>
      <c r="Z133" s="643">
        <f t="shared" si="97"/>
        <v>0</v>
      </c>
      <c r="AA133" s="482">
        <v>0</v>
      </c>
      <c r="AB133" s="643">
        <f t="shared" si="98"/>
        <v>0</v>
      </c>
      <c r="AC133" s="482">
        <v>0</v>
      </c>
      <c r="AD133" s="643">
        <f t="shared" si="99"/>
        <v>0</v>
      </c>
    </row>
    <row r="134" spans="1:30" ht="11.25" customHeight="1">
      <c r="A134" s="948"/>
      <c r="B134" s="521">
        <v>112</v>
      </c>
      <c r="C134" s="521" t="s">
        <v>1182</v>
      </c>
      <c r="D134" s="622">
        <v>2</v>
      </c>
      <c r="E134" s="478">
        <v>681</v>
      </c>
      <c r="F134" s="622">
        <v>4045</v>
      </c>
      <c r="G134" s="478">
        <v>1785</v>
      </c>
      <c r="H134" s="478">
        <v>6994</v>
      </c>
      <c r="I134" s="478">
        <f t="shared" si="90"/>
        <v>12824</v>
      </c>
      <c r="J134" s="478">
        <v>0</v>
      </c>
      <c r="K134" s="644">
        <f t="shared" si="91"/>
        <v>0</v>
      </c>
      <c r="L134" s="478">
        <v>8926</v>
      </c>
      <c r="M134" s="644">
        <f t="shared" si="91"/>
        <v>0.69603867747972548</v>
      </c>
      <c r="N134" s="521">
        <v>112</v>
      </c>
      <c r="O134" s="486">
        <v>0</v>
      </c>
      <c r="P134" s="644">
        <f t="shared" si="92"/>
        <v>0</v>
      </c>
      <c r="Q134" s="478">
        <v>0</v>
      </c>
      <c r="R134" s="644">
        <f t="shared" si="93"/>
        <v>0</v>
      </c>
      <c r="S134" s="478">
        <v>3505</v>
      </c>
      <c r="T134" s="644">
        <f t="shared" si="94"/>
        <v>0.27331565814098563</v>
      </c>
      <c r="U134" s="478">
        <v>0</v>
      </c>
      <c r="V134" s="644">
        <f t="shared" si="95"/>
        <v>0</v>
      </c>
      <c r="W134" s="478">
        <v>0</v>
      </c>
      <c r="X134" s="644">
        <f t="shared" si="96"/>
        <v>0</v>
      </c>
      <c r="Y134" s="478">
        <v>0</v>
      </c>
      <c r="Z134" s="644">
        <f t="shared" si="97"/>
        <v>0</v>
      </c>
      <c r="AA134" s="478">
        <v>393</v>
      </c>
      <c r="AB134" s="644">
        <f t="shared" si="98"/>
        <v>3.0645664379288833E-2</v>
      </c>
      <c r="AC134" s="478">
        <v>100</v>
      </c>
      <c r="AD134" s="644">
        <f t="shared" si="99"/>
        <v>7.7978789769182783E-3</v>
      </c>
    </row>
    <row r="135" spans="1:30" ht="11.25" customHeight="1" thickBot="1">
      <c r="A135" s="948"/>
      <c r="B135" s="517">
        <v>113</v>
      </c>
      <c r="C135" s="517" t="s">
        <v>453</v>
      </c>
      <c r="D135" s="621">
        <v>18</v>
      </c>
      <c r="E135" s="482">
        <v>1740</v>
      </c>
      <c r="F135" s="621">
        <v>16583</v>
      </c>
      <c r="G135" s="482">
        <v>12899</v>
      </c>
      <c r="H135" s="482">
        <v>77956</v>
      </c>
      <c r="I135" s="482">
        <f t="shared" si="90"/>
        <v>107438</v>
      </c>
      <c r="J135" s="482">
        <v>0</v>
      </c>
      <c r="K135" s="643">
        <f t="shared" si="91"/>
        <v>0</v>
      </c>
      <c r="L135" s="482">
        <v>8628</v>
      </c>
      <c r="M135" s="643">
        <f t="shared" si="91"/>
        <v>8.030678158565871E-2</v>
      </c>
      <c r="N135" s="517">
        <v>113</v>
      </c>
      <c r="O135" s="500">
        <v>12021</v>
      </c>
      <c r="P135" s="643">
        <f t="shared" si="92"/>
        <v>0.11188778644427484</v>
      </c>
      <c r="Q135" s="482">
        <v>0</v>
      </c>
      <c r="R135" s="643">
        <f t="shared" si="93"/>
        <v>0</v>
      </c>
      <c r="S135" s="482">
        <v>53935</v>
      </c>
      <c r="T135" s="643">
        <f t="shared" si="94"/>
        <v>0.50201046184776332</v>
      </c>
      <c r="U135" s="482">
        <v>0</v>
      </c>
      <c r="V135" s="643">
        <f t="shared" si="95"/>
        <v>0</v>
      </c>
      <c r="W135" s="482">
        <v>0</v>
      </c>
      <c r="X135" s="643">
        <f t="shared" si="96"/>
        <v>0</v>
      </c>
      <c r="Y135" s="482">
        <v>10337</v>
      </c>
      <c r="Z135" s="643">
        <f t="shared" si="97"/>
        <v>9.6213630186712334E-2</v>
      </c>
      <c r="AA135" s="482">
        <v>22517</v>
      </c>
      <c r="AB135" s="643">
        <f t="shared" si="98"/>
        <v>0.20958133993559075</v>
      </c>
      <c r="AC135" s="482">
        <v>10337</v>
      </c>
      <c r="AD135" s="643">
        <f t="shared" si="99"/>
        <v>9.6213630186712334E-2</v>
      </c>
    </row>
    <row r="136" spans="1:30" ht="11.25" customHeight="1" thickTop="1">
      <c r="A136" s="948"/>
      <c r="B136" s="502"/>
      <c r="C136" s="536" t="s">
        <v>34</v>
      </c>
      <c r="D136" s="650">
        <f t="shared" ref="D136:J136" si="100">SUM(D128:D135)</f>
        <v>37</v>
      </c>
      <c r="E136" s="650">
        <f t="shared" si="100"/>
        <v>5237</v>
      </c>
      <c r="F136" s="650">
        <f t="shared" si="100"/>
        <v>28386</v>
      </c>
      <c r="G136" s="650">
        <f t="shared" si="100"/>
        <v>18248</v>
      </c>
      <c r="H136" s="650">
        <f t="shared" si="100"/>
        <v>119314</v>
      </c>
      <c r="I136" s="650">
        <f t="shared" si="100"/>
        <v>165948</v>
      </c>
      <c r="J136" s="650">
        <f t="shared" si="100"/>
        <v>2365</v>
      </c>
      <c r="K136" s="651">
        <f t="shared" si="91"/>
        <v>1.4251452262154411E-2</v>
      </c>
      <c r="L136" s="650">
        <f>SUM(L128:L135)</f>
        <v>35185</v>
      </c>
      <c r="M136" s="651">
        <f t="shared" si="91"/>
        <v>0.21202424855978982</v>
      </c>
      <c r="N136" s="502"/>
      <c r="O136" s="650">
        <f>SUM(O128:O135)</f>
        <v>13760</v>
      </c>
      <c r="P136" s="651">
        <f t="shared" si="92"/>
        <v>8.2917540434352927E-2</v>
      </c>
      <c r="Q136" s="650">
        <f>SUM(Q128:Q135)</f>
        <v>0</v>
      </c>
      <c r="R136" s="651">
        <f t="shared" si="93"/>
        <v>0</v>
      </c>
      <c r="S136" s="650">
        <f>SUM(S128:S135)</f>
        <v>79082</v>
      </c>
      <c r="T136" s="651">
        <f t="shared" si="94"/>
        <v>0.47654687010388797</v>
      </c>
      <c r="U136" s="650">
        <f>SUM(U128:U135)</f>
        <v>0</v>
      </c>
      <c r="V136" s="651">
        <f t="shared" si="95"/>
        <v>0</v>
      </c>
      <c r="W136" s="650">
        <f>SUM(W128:W135)</f>
        <v>0</v>
      </c>
      <c r="X136" s="651">
        <f t="shared" si="96"/>
        <v>0</v>
      </c>
      <c r="Y136" s="650">
        <f>SUM(Y128:Y135)</f>
        <v>12646</v>
      </c>
      <c r="Z136" s="651">
        <f t="shared" si="97"/>
        <v>7.6204594210234525E-2</v>
      </c>
      <c r="AA136" s="650">
        <f>SUM(AA128:AA135)</f>
        <v>22910</v>
      </c>
      <c r="AB136" s="651">
        <f t="shared" si="98"/>
        <v>0.13805529442958034</v>
      </c>
      <c r="AC136" s="650">
        <f>SUM(AC128:AC135)</f>
        <v>10437</v>
      </c>
      <c r="AD136" s="651">
        <f t="shared" si="99"/>
        <v>6.2893195458818427E-2</v>
      </c>
    </row>
    <row r="137" spans="1:30" ht="11.25" customHeight="1">
      <c r="A137" s="949"/>
      <c r="B137" s="509"/>
      <c r="C137" s="537"/>
      <c r="D137" s="652"/>
      <c r="E137" s="653"/>
      <c r="F137" s="2173"/>
      <c r="G137" s="653"/>
      <c r="H137" s="653"/>
      <c r="I137" s="653"/>
      <c r="J137" s="658"/>
      <c r="K137" s="659"/>
      <c r="L137" s="658"/>
      <c r="M137" s="660"/>
      <c r="N137" s="509"/>
      <c r="O137" s="2180"/>
      <c r="P137" s="659"/>
      <c r="Q137" s="658"/>
      <c r="R137" s="659"/>
      <c r="S137" s="658"/>
      <c r="T137" s="659"/>
      <c r="U137" s="658"/>
      <c r="V137" s="659"/>
      <c r="W137" s="658"/>
      <c r="X137" s="659"/>
      <c r="Y137" s="658"/>
      <c r="Z137" s="659"/>
      <c r="AA137" s="658"/>
      <c r="AB137" s="659"/>
      <c r="AC137" s="658"/>
      <c r="AD137" s="659"/>
    </row>
    <row r="138" spans="1:30" ht="11.25" customHeight="1">
      <c r="A138" s="947" t="s">
        <v>1217</v>
      </c>
      <c r="B138" s="535">
        <v>114</v>
      </c>
      <c r="C138" s="535" t="s">
        <v>1184</v>
      </c>
      <c r="D138" s="619">
        <v>4</v>
      </c>
      <c r="E138" s="491">
        <v>1968</v>
      </c>
      <c r="F138" s="619">
        <v>1827</v>
      </c>
      <c r="G138" s="491">
        <v>1437</v>
      </c>
      <c r="H138" s="491">
        <v>21562</v>
      </c>
      <c r="I138" s="491">
        <f t="shared" ref="I138:I147" si="101">SUM(F138:H138)</f>
        <v>24826</v>
      </c>
      <c r="J138" s="491">
        <v>0</v>
      </c>
      <c r="K138" s="642">
        <f t="shared" ref="K138:M151" si="102">J138/$I138</f>
        <v>0</v>
      </c>
      <c r="L138" s="491">
        <v>7843</v>
      </c>
      <c r="M138" s="642">
        <f t="shared" si="102"/>
        <v>0.31591879481189078</v>
      </c>
      <c r="N138" s="535">
        <v>114</v>
      </c>
      <c r="O138" s="637">
        <v>0</v>
      </c>
      <c r="P138" s="642">
        <f t="shared" ref="P138:P149" si="103">O138/$I138</f>
        <v>0</v>
      </c>
      <c r="Q138" s="491">
        <v>0</v>
      </c>
      <c r="R138" s="642">
        <f t="shared" ref="R138:R149" si="104">Q138/$I138</f>
        <v>0</v>
      </c>
      <c r="S138" s="491">
        <v>16317</v>
      </c>
      <c r="T138" s="642">
        <f t="shared" ref="T138:T149" si="105">S138/$I138</f>
        <v>0.6572544912591638</v>
      </c>
      <c r="U138" s="491">
        <v>0</v>
      </c>
      <c r="V138" s="642">
        <f t="shared" ref="V138:V149" si="106">U138/$I138</f>
        <v>0</v>
      </c>
      <c r="W138" s="491">
        <v>0</v>
      </c>
      <c r="X138" s="642">
        <f t="shared" ref="X138:X149" si="107">W138/$I138</f>
        <v>0</v>
      </c>
      <c r="Y138" s="491">
        <v>561</v>
      </c>
      <c r="Z138" s="642">
        <f t="shared" ref="Z138:Z149" si="108">Y138/$I138</f>
        <v>2.259727704825586E-2</v>
      </c>
      <c r="AA138" s="491">
        <v>105</v>
      </c>
      <c r="AB138" s="642">
        <f t="shared" ref="AB138:AB149" si="109">AA138/$I138</f>
        <v>4.2294368806895999E-3</v>
      </c>
      <c r="AC138" s="491">
        <v>0</v>
      </c>
      <c r="AD138" s="642">
        <f t="shared" ref="AD138:AD149" si="110">AC138/$I138</f>
        <v>0</v>
      </c>
    </row>
    <row r="139" spans="1:30" ht="11.25" customHeight="1">
      <c r="A139" s="948"/>
      <c r="B139" s="539">
        <v>115</v>
      </c>
      <c r="C139" s="638" t="s">
        <v>1149</v>
      </c>
      <c r="D139" s="139">
        <v>7</v>
      </c>
      <c r="E139" s="592">
        <v>2870</v>
      </c>
      <c r="F139" s="629">
        <v>871</v>
      </c>
      <c r="G139" s="592">
        <v>4139</v>
      </c>
      <c r="H139" s="592">
        <v>18553</v>
      </c>
      <c r="I139" s="592">
        <f t="shared" si="101"/>
        <v>23563</v>
      </c>
      <c r="J139" s="592">
        <v>0</v>
      </c>
      <c r="K139" s="661">
        <f t="shared" si="102"/>
        <v>0</v>
      </c>
      <c r="L139" s="592">
        <v>4316</v>
      </c>
      <c r="M139" s="661">
        <f t="shared" si="102"/>
        <v>0.18316852692781055</v>
      </c>
      <c r="N139" s="539">
        <v>115</v>
      </c>
      <c r="O139" s="2183">
        <v>1778</v>
      </c>
      <c r="P139" s="661">
        <f t="shared" si="103"/>
        <v>7.5457284726053564E-2</v>
      </c>
      <c r="Q139" s="592">
        <v>162</v>
      </c>
      <c r="R139" s="661">
        <f t="shared" si="104"/>
        <v>6.8751856724525743E-3</v>
      </c>
      <c r="S139" s="592">
        <v>17307</v>
      </c>
      <c r="T139" s="661">
        <f t="shared" si="105"/>
        <v>0.73449900267368329</v>
      </c>
      <c r="U139" s="592">
        <v>0</v>
      </c>
      <c r="V139" s="661">
        <f t="shared" si="106"/>
        <v>0</v>
      </c>
      <c r="W139" s="592">
        <v>0</v>
      </c>
      <c r="X139" s="661">
        <f t="shared" si="107"/>
        <v>0</v>
      </c>
      <c r="Y139" s="592">
        <v>0</v>
      </c>
      <c r="Z139" s="661">
        <f t="shared" si="108"/>
        <v>0</v>
      </c>
      <c r="AA139" s="592">
        <v>0</v>
      </c>
      <c r="AB139" s="661">
        <f t="shared" si="109"/>
        <v>0</v>
      </c>
      <c r="AC139" s="592">
        <v>0</v>
      </c>
      <c r="AD139" s="661">
        <f t="shared" si="110"/>
        <v>0</v>
      </c>
    </row>
    <row r="140" spans="1:30" ht="11.25" customHeight="1">
      <c r="A140" s="948"/>
      <c r="B140" s="518">
        <v>116</v>
      </c>
      <c r="C140" s="568" t="s">
        <v>1185</v>
      </c>
      <c r="D140" s="142">
        <v>7</v>
      </c>
      <c r="E140" s="569">
        <v>766</v>
      </c>
      <c r="F140" s="630">
        <v>921</v>
      </c>
      <c r="G140" s="569">
        <v>1080</v>
      </c>
      <c r="H140" s="569">
        <v>10205</v>
      </c>
      <c r="I140" s="569">
        <f t="shared" si="101"/>
        <v>12206</v>
      </c>
      <c r="J140" s="569">
        <v>0</v>
      </c>
      <c r="K140" s="662">
        <f t="shared" si="102"/>
        <v>0</v>
      </c>
      <c r="L140" s="569">
        <v>71</v>
      </c>
      <c r="M140" s="662">
        <f t="shared" si="102"/>
        <v>5.8168114042274292E-3</v>
      </c>
      <c r="N140" s="518">
        <v>116</v>
      </c>
      <c r="O140" s="2184">
        <v>300</v>
      </c>
      <c r="P140" s="662">
        <f t="shared" si="103"/>
        <v>2.4578076355890547E-2</v>
      </c>
      <c r="Q140" s="569">
        <v>475</v>
      </c>
      <c r="R140" s="662">
        <f t="shared" si="104"/>
        <v>3.8915287563493363E-2</v>
      </c>
      <c r="S140" s="569">
        <v>11360</v>
      </c>
      <c r="T140" s="662">
        <f t="shared" si="105"/>
        <v>0.93068982467638861</v>
      </c>
      <c r="U140" s="569">
        <v>0</v>
      </c>
      <c r="V140" s="662">
        <f t="shared" si="106"/>
        <v>0</v>
      </c>
      <c r="W140" s="569">
        <v>0</v>
      </c>
      <c r="X140" s="662">
        <f t="shared" si="107"/>
        <v>0</v>
      </c>
      <c r="Y140" s="569">
        <v>0</v>
      </c>
      <c r="Z140" s="662">
        <f t="shared" si="108"/>
        <v>0</v>
      </c>
      <c r="AA140" s="569">
        <v>0</v>
      </c>
      <c r="AB140" s="662">
        <f t="shared" si="109"/>
        <v>0</v>
      </c>
      <c r="AC140" s="569">
        <v>0</v>
      </c>
      <c r="AD140" s="662">
        <f t="shared" si="110"/>
        <v>0</v>
      </c>
    </row>
    <row r="141" spans="1:30" ht="11.25" customHeight="1">
      <c r="A141" s="948"/>
      <c r="B141" s="521">
        <v>117</v>
      </c>
      <c r="C141" s="521" t="s">
        <v>1186</v>
      </c>
      <c r="D141" s="622">
        <v>1</v>
      </c>
      <c r="E141" s="478">
        <v>1250</v>
      </c>
      <c r="F141" s="622">
        <v>10000</v>
      </c>
      <c r="G141" s="478">
        <v>10000</v>
      </c>
      <c r="H141" s="478">
        <v>5460</v>
      </c>
      <c r="I141" s="478">
        <f t="shared" si="101"/>
        <v>25460</v>
      </c>
      <c r="J141" s="478">
        <v>0</v>
      </c>
      <c r="K141" s="644">
        <f t="shared" si="102"/>
        <v>0</v>
      </c>
      <c r="L141" s="478">
        <v>0</v>
      </c>
      <c r="M141" s="644">
        <f t="shared" si="102"/>
        <v>0</v>
      </c>
      <c r="N141" s="521">
        <v>117</v>
      </c>
      <c r="O141" s="486">
        <v>0</v>
      </c>
      <c r="P141" s="644">
        <f t="shared" si="103"/>
        <v>0</v>
      </c>
      <c r="Q141" s="478">
        <v>0</v>
      </c>
      <c r="R141" s="644">
        <f t="shared" si="104"/>
        <v>0</v>
      </c>
      <c r="S141" s="478">
        <v>0</v>
      </c>
      <c r="T141" s="644">
        <f t="shared" si="105"/>
        <v>0</v>
      </c>
      <c r="U141" s="478">
        <v>0</v>
      </c>
      <c r="V141" s="644">
        <f t="shared" si="106"/>
        <v>0</v>
      </c>
      <c r="W141" s="478">
        <v>0</v>
      </c>
      <c r="X141" s="644">
        <f t="shared" si="107"/>
        <v>0</v>
      </c>
      <c r="Y141" s="478">
        <v>12730</v>
      </c>
      <c r="Z141" s="644">
        <f t="shared" si="108"/>
        <v>0.5</v>
      </c>
      <c r="AA141" s="478">
        <v>12730</v>
      </c>
      <c r="AB141" s="644">
        <f t="shared" si="109"/>
        <v>0.5</v>
      </c>
      <c r="AC141" s="478">
        <v>0</v>
      </c>
      <c r="AD141" s="644">
        <f t="shared" si="110"/>
        <v>0</v>
      </c>
    </row>
    <row r="142" spans="1:30" ht="11.25" customHeight="1">
      <c r="A142" s="948"/>
      <c r="B142" s="517">
        <v>118</v>
      </c>
      <c r="C142" s="517" t="s">
        <v>1187</v>
      </c>
      <c r="D142" s="621">
        <v>3</v>
      </c>
      <c r="E142" s="482">
        <v>1210</v>
      </c>
      <c r="F142" s="621">
        <v>850</v>
      </c>
      <c r="G142" s="482">
        <v>700</v>
      </c>
      <c r="H142" s="482">
        <v>8446</v>
      </c>
      <c r="I142" s="482">
        <f t="shared" si="101"/>
        <v>9996</v>
      </c>
      <c r="J142" s="482">
        <v>1050</v>
      </c>
      <c r="K142" s="643">
        <f t="shared" si="102"/>
        <v>0.10504201680672269</v>
      </c>
      <c r="L142" s="482">
        <v>0</v>
      </c>
      <c r="M142" s="643">
        <f t="shared" si="102"/>
        <v>0</v>
      </c>
      <c r="N142" s="517">
        <v>118</v>
      </c>
      <c r="O142" s="500">
        <v>0</v>
      </c>
      <c r="P142" s="643">
        <f t="shared" si="103"/>
        <v>0</v>
      </c>
      <c r="Q142" s="482">
        <v>0</v>
      </c>
      <c r="R142" s="643">
        <f t="shared" si="104"/>
        <v>0</v>
      </c>
      <c r="S142" s="482">
        <v>8946</v>
      </c>
      <c r="T142" s="643">
        <f t="shared" si="105"/>
        <v>0.89495798319327735</v>
      </c>
      <c r="U142" s="482">
        <v>0</v>
      </c>
      <c r="V142" s="643">
        <f t="shared" si="106"/>
        <v>0</v>
      </c>
      <c r="W142" s="482">
        <v>0</v>
      </c>
      <c r="X142" s="643">
        <f t="shared" si="107"/>
        <v>0</v>
      </c>
      <c r="Y142" s="482">
        <v>0</v>
      </c>
      <c r="Z142" s="643">
        <f t="shared" si="108"/>
        <v>0</v>
      </c>
      <c r="AA142" s="482">
        <v>0</v>
      </c>
      <c r="AB142" s="643">
        <f t="shared" si="109"/>
        <v>0</v>
      </c>
      <c r="AC142" s="482">
        <v>0</v>
      </c>
      <c r="AD142" s="643">
        <f t="shared" si="110"/>
        <v>0</v>
      </c>
    </row>
    <row r="143" spans="1:30" ht="11.25" customHeight="1">
      <c r="A143" s="948"/>
      <c r="B143" s="521">
        <v>119</v>
      </c>
      <c r="C143" s="521" t="s">
        <v>1188</v>
      </c>
      <c r="D143" s="622">
        <v>1</v>
      </c>
      <c r="E143" s="478">
        <v>151</v>
      </c>
      <c r="F143" s="622">
        <v>600</v>
      </c>
      <c r="G143" s="478">
        <v>0</v>
      </c>
      <c r="H143" s="478">
        <v>802</v>
      </c>
      <c r="I143" s="478">
        <f t="shared" si="101"/>
        <v>1402</v>
      </c>
      <c r="J143" s="478">
        <v>0</v>
      </c>
      <c r="K143" s="644">
        <f t="shared" si="102"/>
        <v>0</v>
      </c>
      <c r="L143" s="478">
        <v>0</v>
      </c>
      <c r="M143" s="644">
        <f t="shared" si="102"/>
        <v>0</v>
      </c>
      <c r="N143" s="521">
        <v>119</v>
      </c>
      <c r="O143" s="486">
        <v>0</v>
      </c>
      <c r="P143" s="644">
        <f t="shared" si="103"/>
        <v>0</v>
      </c>
      <c r="Q143" s="478">
        <v>0</v>
      </c>
      <c r="R143" s="644">
        <f t="shared" si="104"/>
        <v>0</v>
      </c>
      <c r="S143" s="478">
        <v>952</v>
      </c>
      <c r="T143" s="644">
        <f t="shared" si="105"/>
        <v>0.67902995720399428</v>
      </c>
      <c r="U143" s="478">
        <v>0</v>
      </c>
      <c r="V143" s="644">
        <f t="shared" si="106"/>
        <v>0</v>
      </c>
      <c r="W143" s="478">
        <v>0</v>
      </c>
      <c r="X143" s="644">
        <f t="shared" si="107"/>
        <v>0</v>
      </c>
      <c r="Y143" s="478">
        <v>450</v>
      </c>
      <c r="Z143" s="644">
        <f t="shared" si="108"/>
        <v>0.32097004279600572</v>
      </c>
      <c r="AA143" s="478">
        <v>0</v>
      </c>
      <c r="AB143" s="644">
        <f t="shared" si="109"/>
        <v>0</v>
      </c>
      <c r="AC143" s="478">
        <v>0</v>
      </c>
      <c r="AD143" s="644">
        <f t="shared" si="110"/>
        <v>0</v>
      </c>
    </row>
    <row r="144" spans="1:30" ht="11.25" customHeight="1">
      <c r="A144" s="948"/>
      <c r="B144" s="517">
        <v>120</v>
      </c>
      <c r="C144" s="517" t="s">
        <v>1189</v>
      </c>
      <c r="D144" s="621">
        <v>2</v>
      </c>
      <c r="E144" s="482">
        <v>220</v>
      </c>
      <c r="F144" s="621">
        <v>407</v>
      </c>
      <c r="G144" s="482">
        <v>2842</v>
      </c>
      <c r="H144" s="482">
        <v>7230</v>
      </c>
      <c r="I144" s="482">
        <f t="shared" si="101"/>
        <v>10479</v>
      </c>
      <c r="J144" s="482">
        <v>0</v>
      </c>
      <c r="K144" s="643">
        <f t="shared" si="102"/>
        <v>0</v>
      </c>
      <c r="L144" s="482">
        <v>0</v>
      </c>
      <c r="M144" s="643">
        <f t="shared" si="102"/>
        <v>0</v>
      </c>
      <c r="N144" s="517">
        <v>120</v>
      </c>
      <c r="O144" s="500">
        <v>0</v>
      </c>
      <c r="P144" s="643">
        <f t="shared" si="103"/>
        <v>0</v>
      </c>
      <c r="Q144" s="482">
        <v>0</v>
      </c>
      <c r="R144" s="643">
        <f t="shared" si="104"/>
        <v>0</v>
      </c>
      <c r="S144" s="482">
        <v>9074</v>
      </c>
      <c r="T144" s="643">
        <f t="shared" si="105"/>
        <v>0.86592232083214049</v>
      </c>
      <c r="U144" s="482">
        <v>0</v>
      </c>
      <c r="V144" s="643">
        <f t="shared" si="106"/>
        <v>0</v>
      </c>
      <c r="W144" s="482">
        <v>0</v>
      </c>
      <c r="X144" s="643">
        <f t="shared" si="107"/>
        <v>0</v>
      </c>
      <c r="Y144" s="482">
        <v>950</v>
      </c>
      <c r="Z144" s="643">
        <f t="shared" si="108"/>
        <v>9.0657505487164808E-2</v>
      </c>
      <c r="AA144" s="482">
        <v>455</v>
      </c>
      <c r="AB144" s="643">
        <f t="shared" si="109"/>
        <v>4.3420173680694722E-2</v>
      </c>
      <c r="AC144" s="482">
        <v>0</v>
      </c>
      <c r="AD144" s="643">
        <f t="shared" si="110"/>
        <v>0</v>
      </c>
    </row>
    <row r="145" spans="1:30" ht="11.25" customHeight="1">
      <c r="A145" s="948"/>
      <c r="B145" s="518">
        <v>121</v>
      </c>
      <c r="C145" s="517" t="s">
        <v>1190</v>
      </c>
      <c r="D145" s="621">
        <v>5</v>
      </c>
      <c r="E145" s="482">
        <v>259</v>
      </c>
      <c r="F145" s="621">
        <v>1370</v>
      </c>
      <c r="G145" s="482">
        <v>10</v>
      </c>
      <c r="H145" s="482">
        <v>8509</v>
      </c>
      <c r="I145" s="482">
        <f t="shared" si="101"/>
        <v>9889</v>
      </c>
      <c r="J145" s="482">
        <v>0</v>
      </c>
      <c r="K145" s="643">
        <f t="shared" si="102"/>
        <v>0</v>
      </c>
      <c r="L145" s="482">
        <v>0</v>
      </c>
      <c r="M145" s="643">
        <f t="shared" si="102"/>
        <v>0</v>
      </c>
      <c r="N145" s="518">
        <v>121</v>
      </c>
      <c r="O145" s="500">
        <v>0</v>
      </c>
      <c r="P145" s="643">
        <f t="shared" si="103"/>
        <v>0</v>
      </c>
      <c r="Q145" s="482">
        <v>0</v>
      </c>
      <c r="R145" s="643">
        <f t="shared" si="104"/>
        <v>0</v>
      </c>
      <c r="S145" s="482">
        <v>9889</v>
      </c>
      <c r="T145" s="643">
        <f t="shared" si="105"/>
        <v>1</v>
      </c>
      <c r="U145" s="482">
        <v>0</v>
      </c>
      <c r="V145" s="643">
        <f t="shared" si="106"/>
        <v>0</v>
      </c>
      <c r="W145" s="482">
        <v>0</v>
      </c>
      <c r="X145" s="643">
        <f t="shared" si="107"/>
        <v>0</v>
      </c>
      <c r="Y145" s="482">
        <v>0</v>
      </c>
      <c r="Z145" s="643">
        <f t="shared" si="108"/>
        <v>0</v>
      </c>
      <c r="AA145" s="482">
        <v>0</v>
      </c>
      <c r="AB145" s="643">
        <f t="shared" si="109"/>
        <v>0</v>
      </c>
      <c r="AC145" s="482">
        <v>0</v>
      </c>
      <c r="AD145" s="643">
        <f t="shared" si="110"/>
        <v>0</v>
      </c>
    </row>
    <row r="146" spans="1:30" ht="11.25" customHeight="1">
      <c r="A146" s="948"/>
      <c r="B146" s="518">
        <v>122</v>
      </c>
      <c r="C146" s="518" t="s">
        <v>1191</v>
      </c>
      <c r="D146" s="623">
        <v>2</v>
      </c>
      <c r="E146" s="472">
        <v>63</v>
      </c>
      <c r="F146" s="623">
        <v>412</v>
      </c>
      <c r="G146" s="472">
        <v>11</v>
      </c>
      <c r="H146" s="472">
        <v>2416</v>
      </c>
      <c r="I146" s="472">
        <f t="shared" si="101"/>
        <v>2839</v>
      </c>
      <c r="J146" s="472">
        <v>0</v>
      </c>
      <c r="K146" s="649">
        <f t="shared" si="102"/>
        <v>0</v>
      </c>
      <c r="L146" s="472">
        <v>0</v>
      </c>
      <c r="M146" s="649">
        <f t="shared" si="102"/>
        <v>0</v>
      </c>
      <c r="N146" s="518">
        <v>122</v>
      </c>
      <c r="O146" s="532">
        <v>0</v>
      </c>
      <c r="P146" s="649">
        <f t="shared" si="103"/>
        <v>0</v>
      </c>
      <c r="Q146" s="472">
        <v>0</v>
      </c>
      <c r="R146" s="649">
        <f t="shared" si="104"/>
        <v>0</v>
      </c>
      <c r="S146" s="472">
        <v>2839</v>
      </c>
      <c r="T146" s="649">
        <f t="shared" si="105"/>
        <v>1</v>
      </c>
      <c r="U146" s="472">
        <v>0</v>
      </c>
      <c r="V146" s="649">
        <f t="shared" si="106"/>
        <v>0</v>
      </c>
      <c r="W146" s="472">
        <v>0</v>
      </c>
      <c r="X146" s="649">
        <f t="shared" si="107"/>
        <v>0</v>
      </c>
      <c r="Y146" s="472">
        <v>0</v>
      </c>
      <c r="Z146" s="649">
        <f t="shared" si="108"/>
        <v>0</v>
      </c>
      <c r="AA146" s="472">
        <v>0</v>
      </c>
      <c r="AB146" s="649">
        <f t="shared" si="109"/>
        <v>0</v>
      </c>
      <c r="AC146" s="472">
        <v>0</v>
      </c>
      <c r="AD146" s="649">
        <f t="shared" si="110"/>
        <v>0</v>
      </c>
    </row>
    <row r="147" spans="1:30" ht="11.25" customHeight="1">
      <c r="A147" s="948"/>
      <c r="B147" s="521">
        <v>123</v>
      </c>
      <c r="C147" s="521" t="s">
        <v>1192</v>
      </c>
      <c r="D147" s="622">
        <v>1</v>
      </c>
      <c r="E147" s="478">
        <v>30</v>
      </c>
      <c r="F147" s="622">
        <v>618</v>
      </c>
      <c r="G147" s="478">
        <v>0</v>
      </c>
      <c r="H147" s="478">
        <v>1088</v>
      </c>
      <c r="I147" s="478">
        <f t="shared" si="101"/>
        <v>1706</v>
      </c>
      <c r="J147" s="478">
        <v>0</v>
      </c>
      <c r="K147" s="644">
        <f t="shared" si="102"/>
        <v>0</v>
      </c>
      <c r="L147" s="478">
        <v>0</v>
      </c>
      <c r="M147" s="644">
        <f t="shared" si="102"/>
        <v>0</v>
      </c>
      <c r="N147" s="521">
        <v>123</v>
      </c>
      <c r="O147" s="486">
        <v>0</v>
      </c>
      <c r="P147" s="644">
        <f t="shared" si="103"/>
        <v>0</v>
      </c>
      <c r="Q147" s="478">
        <v>0</v>
      </c>
      <c r="R147" s="644">
        <f t="shared" si="104"/>
        <v>0</v>
      </c>
      <c r="S147" s="478">
        <v>1706</v>
      </c>
      <c r="T147" s="644">
        <f t="shared" si="105"/>
        <v>1</v>
      </c>
      <c r="U147" s="478">
        <v>0</v>
      </c>
      <c r="V147" s="644">
        <f t="shared" si="106"/>
        <v>0</v>
      </c>
      <c r="W147" s="478">
        <v>0</v>
      </c>
      <c r="X147" s="644">
        <f t="shared" si="107"/>
        <v>0</v>
      </c>
      <c r="Y147" s="478">
        <v>0</v>
      </c>
      <c r="Z147" s="644">
        <f t="shared" si="108"/>
        <v>0</v>
      </c>
      <c r="AA147" s="478">
        <v>0</v>
      </c>
      <c r="AB147" s="644">
        <f t="shared" si="109"/>
        <v>0</v>
      </c>
      <c r="AC147" s="478">
        <v>0</v>
      </c>
      <c r="AD147" s="644">
        <f t="shared" si="110"/>
        <v>0</v>
      </c>
    </row>
    <row r="148" spans="1:30" ht="11.25" customHeight="1" thickBot="1">
      <c r="A148" s="948"/>
      <c r="B148" s="517">
        <v>124</v>
      </c>
      <c r="C148" s="517" t="s">
        <v>1194</v>
      </c>
      <c r="D148" s="621">
        <v>22</v>
      </c>
      <c r="E148" s="482">
        <v>1432</v>
      </c>
      <c r="F148" s="621">
        <v>19677</v>
      </c>
      <c r="G148" s="482">
        <v>3729</v>
      </c>
      <c r="H148" s="482">
        <v>41625</v>
      </c>
      <c r="I148" s="482">
        <f>SUM(F148:H148)</f>
        <v>65031</v>
      </c>
      <c r="J148" s="482">
        <v>2198</v>
      </c>
      <c r="K148" s="643">
        <f t="shared" si="102"/>
        <v>3.3799264965939324E-2</v>
      </c>
      <c r="L148" s="482">
        <v>0</v>
      </c>
      <c r="M148" s="643">
        <f t="shared" si="102"/>
        <v>0</v>
      </c>
      <c r="N148" s="517">
        <v>124</v>
      </c>
      <c r="O148" s="500">
        <v>0</v>
      </c>
      <c r="P148" s="643">
        <f t="shared" si="103"/>
        <v>0</v>
      </c>
      <c r="Q148" s="482">
        <v>0</v>
      </c>
      <c r="R148" s="643">
        <f t="shared" si="104"/>
        <v>0</v>
      </c>
      <c r="S148" s="482">
        <v>41056</v>
      </c>
      <c r="T148" s="643">
        <f t="shared" si="105"/>
        <v>0.63132967354031155</v>
      </c>
      <c r="U148" s="482">
        <v>0</v>
      </c>
      <c r="V148" s="643">
        <f t="shared" si="106"/>
        <v>0</v>
      </c>
      <c r="W148" s="482">
        <v>0</v>
      </c>
      <c r="X148" s="643">
        <f t="shared" si="107"/>
        <v>0</v>
      </c>
      <c r="Y148" s="482">
        <v>21680</v>
      </c>
      <c r="Z148" s="643">
        <f t="shared" si="108"/>
        <v>0.33337946517814582</v>
      </c>
      <c r="AA148" s="482">
        <v>97</v>
      </c>
      <c r="AB148" s="643">
        <f t="shared" si="109"/>
        <v>1.4915963156033277E-3</v>
      </c>
      <c r="AC148" s="482">
        <v>8933</v>
      </c>
      <c r="AD148" s="643">
        <f t="shared" si="110"/>
        <v>0.13736525656994356</v>
      </c>
    </row>
    <row r="149" spans="1:30" ht="11.25" customHeight="1" thickTop="1">
      <c r="A149" s="948"/>
      <c r="B149" s="502"/>
      <c r="C149" s="503" t="s">
        <v>34</v>
      </c>
      <c r="D149" s="650">
        <f>SUM(D138:D148)</f>
        <v>55</v>
      </c>
      <c r="E149" s="650">
        <f t="shared" ref="E149:J149" si="111">SUM(E138:E148)</f>
        <v>10219</v>
      </c>
      <c r="F149" s="650">
        <f t="shared" si="111"/>
        <v>37553</v>
      </c>
      <c r="G149" s="650">
        <f t="shared" si="111"/>
        <v>23948</v>
      </c>
      <c r="H149" s="650">
        <f t="shared" si="111"/>
        <v>125896</v>
      </c>
      <c r="I149" s="650">
        <f t="shared" si="111"/>
        <v>187397</v>
      </c>
      <c r="J149" s="650">
        <f t="shared" si="111"/>
        <v>3248</v>
      </c>
      <c r="K149" s="651">
        <f t="shared" si="102"/>
        <v>1.7332187815173136E-2</v>
      </c>
      <c r="L149" s="650">
        <f>SUM(L138:L148)</f>
        <v>12230</v>
      </c>
      <c r="M149" s="651">
        <f t="shared" si="102"/>
        <v>6.5262517542970272E-2</v>
      </c>
      <c r="N149" s="506"/>
      <c r="O149" s="650">
        <f>SUM(O138:O148)</f>
        <v>2078</v>
      </c>
      <c r="P149" s="651">
        <f t="shared" si="103"/>
        <v>1.1088758091111385E-2</v>
      </c>
      <c r="Q149" s="650">
        <f>SUM(Q138:Q148)</f>
        <v>637</v>
      </c>
      <c r="R149" s="651">
        <f t="shared" si="104"/>
        <v>3.3992006275447312E-3</v>
      </c>
      <c r="S149" s="650">
        <f>SUM(S138:S148)</f>
        <v>119446</v>
      </c>
      <c r="T149" s="651">
        <f t="shared" si="105"/>
        <v>0.63739547591476919</v>
      </c>
      <c r="U149" s="650">
        <f>SUM(U138:U148)</f>
        <v>0</v>
      </c>
      <c r="V149" s="651">
        <f t="shared" si="106"/>
        <v>0</v>
      </c>
      <c r="W149" s="650">
        <f>SUM(W138:W148)</f>
        <v>0</v>
      </c>
      <c r="X149" s="651">
        <f t="shared" si="107"/>
        <v>0</v>
      </c>
      <c r="Y149" s="650">
        <f>SUM(Y138:Y148)</f>
        <v>36371</v>
      </c>
      <c r="Z149" s="651">
        <f t="shared" si="108"/>
        <v>0.19408528418277773</v>
      </c>
      <c r="AA149" s="650">
        <f>SUM(AA138:AA148)</f>
        <v>13387</v>
      </c>
      <c r="AB149" s="651">
        <f t="shared" si="109"/>
        <v>7.1436575825653562E-2</v>
      </c>
      <c r="AC149" s="650">
        <f>SUM(AC138:AC148)</f>
        <v>8933</v>
      </c>
      <c r="AD149" s="651">
        <f t="shared" si="110"/>
        <v>4.7668852756447541E-2</v>
      </c>
    </row>
    <row r="150" spans="1:30" ht="11.25" customHeight="1">
      <c r="A150" s="620"/>
      <c r="B150" s="509"/>
      <c r="C150" s="602"/>
      <c r="D150" s="667"/>
      <c r="E150" s="653"/>
      <c r="F150" s="667"/>
      <c r="G150" s="653"/>
      <c r="H150" s="653"/>
      <c r="I150" s="653"/>
      <c r="J150" s="653"/>
      <c r="K150" s="654"/>
      <c r="L150" s="653"/>
      <c r="M150" s="655"/>
      <c r="N150" s="514"/>
      <c r="O150" s="2174"/>
      <c r="P150" s="654"/>
      <c r="Q150" s="653"/>
      <c r="R150" s="654"/>
      <c r="S150" s="653"/>
      <c r="T150" s="654"/>
      <c r="U150" s="653"/>
      <c r="V150" s="654"/>
      <c r="W150" s="653"/>
      <c r="X150" s="654"/>
      <c r="Y150" s="653"/>
      <c r="Z150" s="654"/>
      <c r="AA150" s="653"/>
      <c r="AB150" s="654"/>
      <c r="AC150" s="653"/>
      <c r="AD150" s="653"/>
    </row>
    <row r="151" spans="1:30" ht="11.25" customHeight="1">
      <c r="A151" s="603" t="s">
        <v>774</v>
      </c>
      <c r="B151" s="604"/>
      <c r="C151" s="605" t="s">
        <v>34</v>
      </c>
      <c r="D151" s="669">
        <f t="shared" ref="D151:J151" si="112">D32+D37+D53+D75+D87+D108+D117+D126+D136+D149</f>
        <v>767</v>
      </c>
      <c r="E151" s="669">
        <f t="shared" si="112"/>
        <v>100110.9</v>
      </c>
      <c r="F151" s="669">
        <f t="shared" si="112"/>
        <v>439343.83</v>
      </c>
      <c r="G151" s="669">
        <f t="shared" si="112"/>
        <v>349418.60000000003</v>
      </c>
      <c r="H151" s="669">
        <f t="shared" si="112"/>
        <v>2393033.73</v>
      </c>
      <c r="I151" s="669">
        <f t="shared" si="112"/>
        <v>3181796.1599999997</v>
      </c>
      <c r="J151" s="669">
        <f t="shared" si="112"/>
        <v>44009.4</v>
      </c>
      <c r="K151" s="668">
        <f t="shared" si="102"/>
        <v>1.3831621444913683E-2</v>
      </c>
      <c r="L151" s="669">
        <f>L32+L37+L53+L75+L87+L108+L117+L126+L136+L149</f>
        <v>738624.53</v>
      </c>
      <c r="M151" s="668">
        <f t="shared" si="102"/>
        <v>0.23214074467925691</v>
      </c>
      <c r="N151" s="609"/>
      <c r="O151" s="669">
        <f>O32+O37+O53+O75+O87+O108+O117+O126+O136+O149</f>
        <v>146264.47</v>
      </c>
      <c r="P151" s="668">
        <f t="shared" ref="P151" si="113">O151/$I151</f>
        <v>4.5969151587636592E-2</v>
      </c>
      <c r="Q151" s="669">
        <f>Q32+Q37+Q53+Q75+Q87+Q108+Q117+Q126+Q136+Q149</f>
        <v>23049.52</v>
      </c>
      <c r="R151" s="668">
        <f t="shared" ref="R151" si="114">Q151/$I151</f>
        <v>7.2441849951820928E-3</v>
      </c>
      <c r="S151" s="669">
        <f>S32+S37+S53+S75+S87+S108+S117+S126+S136+S149</f>
        <v>1727780.1099999999</v>
      </c>
      <c r="T151" s="668">
        <f t="shared" ref="T151" si="115">S151/$I151</f>
        <v>0.54302036432151579</v>
      </c>
      <c r="U151" s="669">
        <f>U32+U37+U53+U75+U87+U108+U117+U126+U136+U149</f>
        <v>1385</v>
      </c>
      <c r="V151" s="668">
        <f t="shared" ref="V151" si="116">U151/$I151</f>
        <v>4.3528872698117788E-4</v>
      </c>
      <c r="W151" s="669">
        <f>W32+W37+W53+W75+W87+W108+W117+W126+W136+W149</f>
        <v>0</v>
      </c>
      <c r="X151" s="668">
        <f t="shared" ref="X151" si="117">W151/$I151</f>
        <v>0</v>
      </c>
      <c r="Y151" s="669">
        <f>Y32+Y37+Y53+Y75+Y87+Y108+Y117+Y126+Y136+Y149</f>
        <v>368795.52</v>
      </c>
      <c r="Z151" s="668">
        <f t="shared" ref="Z151" si="118">Y151/$I151</f>
        <v>0.11590796564415995</v>
      </c>
      <c r="AA151" s="669">
        <f>AA32+AA37+AA53+AA75+AA87+AA108+AA117+AA126+AA136+AA149</f>
        <v>131887.60999999999</v>
      </c>
      <c r="AB151" s="668">
        <f t="shared" ref="AB151" si="119">AA151/$I151</f>
        <v>4.1450678600353834E-2</v>
      </c>
      <c r="AC151" s="669">
        <f>AC32+AC37+AC53+AC75+AC87+AC108+AC117+AC126+AC136+AC149</f>
        <v>206241.99000000002</v>
      </c>
      <c r="AD151" s="668">
        <f t="shared" ref="AD151" si="120">AC151/$I151</f>
        <v>6.4819359766906004E-2</v>
      </c>
    </row>
    <row r="152" spans="1:30" ht="11.25" customHeight="1"/>
    <row r="153" spans="1:30" ht="11.25" customHeight="1"/>
    <row r="154" spans="1:30" ht="11.25" customHeight="1">
      <c r="I154" s="2190"/>
    </row>
    <row r="155" spans="1:30" ht="11.25" customHeight="1"/>
    <row r="156" spans="1:30" ht="11.25" customHeight="1"/>
    <row r="157" spans="1:30" ht="11.25" customHeight="1"/>
    <row r="158" spans="1:30" ht="11.25" customHeight="1"/>
  </sheetData>
  <mergeCells count="31">
    <mergeCell ref="A119:A127"/>
    <mergeCell ref="A128:A137"/>
    <mergeCell ref="A138:A149"/>
    <mergeCell ref="A34:A38"/>
    <mergeCell ref="A39:A54"/>
    <mergeCell ref="A55:A76"/>
    <mergeCell ref="A77:A88"/>
    <mergeCell ref="A89:A109"/>
    <mergeCell ref="A110:A118"/>
    <mergeCell ref="S4:T5"/>
    <mergeCell ref="U4:V5"/>
    <mergeCell ref="W4:X5"/>
    <mergeCell ref="Y4:Z5"/>
    <mergeCell ref="AA4:AB5"/>
    <mergeCell ref="A7:A33"/>
    <mergeCell ref="H3:H6"/>
    <mergeCell ref="I3:I6"/>
    <mergeCell ref="J3:M3"/>
    <mergeCell ref="N3:N6"/>
    <mergeCell ref="O3:AB3"/>
    <mergeCell ref="AC3:AD5"/>
    <mergeCell ref="J4:K5"/>
    <mergeCell ref="L4:M5"/>
    <mergeCell ref="O4:P5"/>
    <mergeCell ref="Q4:R5"/>
    <mergeCell ref="A3:A6"/>
    <mergeCell ref="B3:B6"/>
    <mergeCell ref="C3:C6"/>
    <mergeCell ref="D3:E5"/>
    <mergeCell ref="F3:F6"/>
    <mergeCell ref="G3:G6"/>
  </mergeCells>
  <phoneticPr fontId="6"/>
  <pageMargins left="0.70866141732283472" right="0.19685039370078741" top="0.59055118110236227" bottom="0.59055118110236227" header="0.51181102362204722" footer="0.51181102362204722"/>
  <pageSetup paperSize="9" scale="84" fitToWidth="2" fitToHeight="0" pageOrder="overThenDown" orientation="portrait" errors="dash" r:id="rId1"/>
  <headerFooter alignWithMargins="0"/>
  <rowBreaks count="1" manualBreakCount="1">
    <brk id="76" max="30" man="1"/>
  </rowBreaks>
  <colBreaks count="1" manualBreakCount="1">
    <brk id="13" max="157" man="1"/>
  </colBreaks>
  <legacy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35ACB3-A9F0-49F3-8CEC-BE458190B9D7}">
  <dimension ref="A1:S75"/>
  <sheetViews>
    <sheetView view="pageBreakPreview" zoomScale="90" zoomScaleNormal="100" zoomScaleSheetLayoutView="90" workbookViewId="0">
      <pane xSplit="3" ySplit="4" topLeftCell="D5" activePane="bottomRight" state="frozen"/>
      <selection pane="topRight" activeCell="D1" sqref="D1"/>
      <selection pane="bottomLeft" activeCell="A5" sqref="A5"/>
      <selection pane="bottomRight"/>
    </sheetView>
  </sheetViews>
  <sheetFormatPr defaultColWidth="9" defaultRowHeight="0" customHeight="1" zeroHeight="1"/>
  <cols>
    <col min="1" max="1" width="2.90625" style="2199" customWidth="1"/>
    <col min="2" max="2" width="6.90625" style="2199" customWidth="1"/>
    <col min="3" max="3" width="37.36328125" style="2199" customWidth="1"/>
    <col min="4" max="4" width="6.26953125" style="2199" customWidth="1"/>
    <col min="5" max="5" width="7.453125" style="2199" customWidth="1"/>
    <col min="6" max="7" width="6.6328125" style="2275" customWidth="1"/>
    <col min="8" max="8" width="6.90625" style="2275" customWidth="1"/>
    <col min="9" max="9" width="3.90625" style="2276" customWidth="1"/>
    <col min="10" max="10" width="11.453125" style="2277" customWidth="1"/>
    <col min="11" max="11" width="8.36328125" style="2278" customWidth="1"/>
    <col min="12" max="12" width="15.6328125" style="2199" hidden="1" customWidth="1"/>
    <col min="13" max="13" width="8.26953125" style="2279" customWidth="1"/>
    <col min="14" max="14" width="8.08984375" style="2199" hidden="1" customWidth="1"/>
    <col min="15" max="15" width="8.6328125" style="2199" customWidth="1"/>
    <col min="16" max="16384" width="9" style="2199"/>
  </cols>
  <sheetData>
    <row r="1" spans="1:14" ht="16.5">
      <c r="A1" s="2191" t="s">
        <v>1235</v>
      </c>
      <c r="B1" s="2192"/>
      <c r="C1" s="2193"/>
      <c r="D1" s="2193"/>
      <c r="E1" s="2194"/>
      <c r="F1" s="2195"/>
      <c r="G1" s="2195"/>
      <c r="H1" s="2195"/>
      <c r="I1" s="2194"/>
      <c r="J1" s="2196"/>
      <c r="K1" s="2197"/>
      <c r="L1" s="2194"/>
      <c r="M1" s="2198"/>
      <c r="N1" s="2194"/>
    </row>
    <row r="2" spans="1:14" ht="13">
      <c r="A2" s="2200"/>
      <c r="B2" s="2201"/>
      <c r="C2" s="2202"/>
      <c r="D2" s="2202"/>
      <c r="E2" s="2200"/>
      <c r="F2" s="2203"/>
      <c r="G2" s="2203"/>
      <c r="H2" s="2203"/>
      <c r="I2" s="2200"/>
      <c r="J2" s="2204"/>
      <c r="K2" s="2205"/>
      <c r="L2" s="2200"/>
      <c r="M2" s="2206"/>
      <c r="N2" s="2200"/>
    </row>
    <row r="3" spans="1:14" s="2211" customFormat="1" ht="22" customHeight="1">
      <c r="A3" s="2207" t="s">
        <v>496</v>
      </c>
      <c r="B3" s="2207" t="s">
        <v>1236</v>
      </c>
      <c r="C3" s="2208" t="s">
        <v>1237</v>
      </c>
      <c r="D3" s="2208" t="s">
        <v>1238</v>
      </c>
      <c r="E3" s="2207" t="s">
        <v>1239</v>
      </c>
      <c r="F3" s="2209" t="s">
        <v>669</v>
      </c>
      <c r="G3" s="2209"/>
      <c r="H3" s="2209" t="s">
        <v>1240</v>
      </c>
      <c r="I3" s="2207" t="s">
        <v>1241</v>
      </c>
      <c r="J3" s="2207" t="s">
        <v>1242</v>
      </c>
      <c r="K3" s="2207"/>
      <c r="L3" s="2207" t="s">
        <v>2315</v>
      </c>
      <c r="M3" s="2210" t="s">
        <v>1243</v>
      </c>
      <c r="N3" s="2207" t="s">
        <v>2316</v>
      </c>
    </row>
    <row r="4" spans="1:14" s="2211" customFormat="1" ht="35.15" customHeight="1">
      <c r="A4" s="2207"/>
      <c r="B4" s="2207"/>
      <c r="C4" s="2212"/>
      <c r="D4" s="2212"/>
      <c r="E4" s="2207"/>
      <c r="F4" s="2213" t="s">
        <v>1244</v>
      </c>
      <c r="G4" s="2213" t="s">
        <v>1245</v>
      </c>
      <c r="H4" s="2209"/>
      <c r="I4" s="2207"/>
      <c r="J4" s="2214" t="s">
        <v>1246</v>
      </c>
      <c r="K4" s="2215" t="s">
        <v>1247</v>
      </c>
      <c r="L4" s="2207"/>
      <c r="M4" s="2216"/>
      <c r="N4" s="2207"/>
    </row>
    <row r="5" spans="1:14" s="2228" customFormat="1" ht="22" customHeight="1">
      <c r="A5" s="2217">
        <v>1</v>
      </c>
      <c r="B5" s="2217" t="s">
        <v>1248</v>
      </c>
      <c r="C5" s="2218" t="s">
        <v>2317</v>
      </c>
      <c r="D5" s="2219"/>
      <c r="E5" s="2220">
        <v>27872</v>
      </c>
      <c r="F5" s="671">
        <v>300</v>
      </c>
      <c r="G5" s="2221"/>
      <c r="H5" s="2222">
        <v>30</v>
      </c>
      <c r="I5" s="2223"/>
      <c r="J5" s="2224" t="s">
        <v>2318</v>
      </c>
      <c r="K5" s="2225" t="s">
        <v>1249</v>
      </c>
      <c r="L5" s="2226">
        <v>1</v>
      </c>
      <c r="M5" s="2218" t="s">
        <v>1250</v>
      </c>
      <c r="N5" s="2227">
        <v>6</v>
      </c>
    </row>
    <row r="6" spans="1:14" s="2228" customFormat="1" ht="22" customHeight="1">
      <c r="A6" s="2217">
        <v>2</v>
      </c>
      <c r="B6" s="2217" t="s">
        <v>1251</v>
      </c>
      <c r="C6" s="2218" t="s">
        <v>2319</v>
      </c>
      <c r="D6" s="2219"/>
      <c r="E6" s="2220">
        <v>24374</v>
      </c>
      <c r="F6" s="671">
        <v>400</v>
      </c>
      <c r="G6" s="2221">
        <v>86</v>
      </c>
      <c r="H6" s="2222">
        <v>130</v>
      </c>
      <c r="I6" s="2223">
        <v>1</v>
      </c>
      <c r="J6" s="2224" t="s">
        <v>2320</v>
      </c>
      <c r="K6" s="2225" t="s">
        <v>1249</v>
      </c>
      <c r="L6" s="2226">
        <v>1</v>
      </c>
      <c r="M6" s="2218" t="s">
        <v>1250</v>
      </c>
      <c r="N6" s="2227">
        <v>6</v>
      </c>
    </row>
    <row r="7" spans="1:14" s="2228" customFormat="1" ht="22" customHeight="1">
      <c r="A7" s="2217">
        <v>3</v>
      </c>
      <c r="B7" s="2217" t="s">
        <v>1252</v>
      </c>
      <c r="C7" s="2218" t="s">
        <v>2321</v>
      </c>
      <c r="D7" s="2219"/>
      <c r="E7" s="2229">
        <v>10290</v>
      </c>
      <c r="F7" s="671">
        <v>886</v>
      </c>
      <c r="G7" s="2221">
        <v>20</v>
      </c>
      <c r="H7" s="2222">
        <v>900</v>
      </c>
      <c r="I7" s="2223">
        <v>1</v>
      </c>
      <c r="J7" s="2224" t="s">
        <v>2320</v>
      </c>
      <c r="K7" s="2225" t="s">
        <v>1249</v>
      </c>
      <c r="L7" s="2226">
        <v>1</v>
      </c>
      <c r="M7" s="2218" t="s">
        <v>1250</v>
      </c>
      <c r="N7" s="2227">
        <v>6</v>
      </c>
    </row>
    <row r="8" spans="1:14" s="2228" customFormat="1" ht="22" customHeight="1">
      <c r="A8" s="2217">
        <v>4</v>
      </c>
      <c r="B8" s="2217" t="s">
        <v>1252</v>
      </c>
      <c r="C8" s="2218" t="s">
        <v>2322</v>
      </c>
      <c r="D8" s="2219"/>
      <c r="E8" s="2229">
        <v>23078</v>
      </c>
      <c r="F8" s="671">
        <v>4800</v>
      </c>
      <c r="G8" s="2221">
        <v>52</v>
      </c>
      <c r="H8" s="2222">
        <v>700</v>
      </c>
      <c r="I8" s="2223">
        <v>1</v>
      </c>
      <c r="J8" s="2230" t="s">
        <v>2323</v>
      </c>
      <c r="K8" s="2225" t="s">
        <v>1249</v>
      </c>
      <c r="L8" s="2226">
        <v>1</v>
      </c>
      <c r="M8" s="2218" t="s">
        <v>1253</v>
      </c>
      <c r="N8" s="2227">
        <v>2</v>
      </c>
    </row>
    <row r="9" spans="1:14" s="2228" customFormat="1" ht="22" customHeight="1">
      <c r="A9" s="2217">
        <v>5</v>
      </c>
      <c r="B9" s="2217" t="s">
        <v>1252</v>
      </c>
      <c r="C9" s="2218" t="s">
        <v>2324</v>
      </c>
      <c r="D9" s="2219"/>
      <c r="E9" s="2229">
        <v>25003</v>
      </c>
      <c r="F9" s="671">
        <v>1600</v>
      </c>
      <c r="G9" s="2221">
        <v>8</v>
      </c>
      <c r="H9" s="2222">
        <v>300</v>
      </c>
      <c r="I9" s="2223">
        <v>1</v>
      </c>
      <c r="J9" s="2231" t="s">
        <v>2323</v>
      </c>
      <c r="K9" s="2225" t="s">
        <v>1249</v>
      </c>
      <c r="L9" s="2226">
        <v>1</v>
      </c>
      <c r="M9" s="2218" t="s">
        <v>1253</v>
      </c>
      <c r="N9" s="2227">
        <v>2</v>
      </c>
    </row>
    <row r="10" spans="1:14" s="2228" customFormat="1" ht="22" customHeight="1">
      <c r="A10" s="2217">
        <v>6</v>
      </c>
      <c r="B10" s="2217" t="s">
        <v>1252</v>
      </c>
      <c r="C10" s="2218" t="s">
        <v>2325</v>
      </c>
      <c r="D10" s="2219"/>
      <c r="E10" s="2229">
        <v>37410</v>
      </c>
      <c r="F10" s="671">
        <v>2500</v>
      </c>
      <c r="G10" s="671">
        <v>27</v>
      </c>
      <c r="H10" s="2222">
        <v>250</v>
      </c>
      <c r="I10" s="2223">
        <v>2</v>
      </c>
      <c r="J10" s="2224" t="s">
        <v>2318</v>
      </c>
      <c r="K10" s="2225" t="s">
        <v>1254</v>
      </c>
      <c r="L10" s="2226">
        <v>3</v>
      </c>
      <c r="M10" s="2218" t="s">
        <v>1250</v>
      </c>
      <c r="N10" s="2227">
        <v>6</v>
      </c>
    </row>
    <row r="11" spans="1:14" s="2228" customFormat="1" ht="22" customHeight="1">
      <c r="A11" s="2217">
        <v>7</v>
      </c>
      <c r="B11" s="2217" t="s">
        <v>1252</v>
      </c>
      <c r="C11" s="2218" t="s">
        <v>2326</v>
      </c>
      <c r="D11" s="2219"/>
      <c r="E11" s="2229">
        <v>25993</v>
      </c>
      <c r="F11" s="671">
        <v>750</v>
      </c>
      <c r="G11" s="2221">
        <v>30</v>
      </c>
      <c r="H11" s="2222">
        <v>300</v>
      </c>
      <c r="I11" s="2223">
        <v>2</v>
      </c>
      <c r="J11" s="2224" t="s">
        <v>2318</v>
      </c>
      <c r="K11" s="2225" t="s">
        <v>1249</v>
      </c>
      <c r="L11" s="2226">
        <v>1</v>
      </c>
      <c r="M11" s="2218" t="s">
        <v>1250</v>
      </c>
      <c r="N11" s="2227">
        <v>6</v>
      </c>
    </row>
    <row r="12" spans="1:14" s="2228" customFormat="1" ht="22" customHeight="1">
      <c r="A12" s="2217">
        <v>8</v>
      </c>
      <c r="B12" s="2217" t="s">
        <v>1252</v>
      </c>
      <c r="C12" s="2218" t="s">
        <v>2327</v>
      </c>
      <c r="D12" s="2219"/>
      <c r="E12" s="2229">
        <v>26134</v>
      </c>
      <c r="F12" s="671">
        <v>150</v>
      </c>
      <c r="G12" s="2221">
        <v>6</v>
      </c>
      <c r="H12" s="2222">
        <v>48</v>
      </c>
      <c r="I12" s="2223">
        <v>1</v>
      </c>
      <c r="J12" s="2224" t="s">
        <v>2318</v>
      </c>
      <c r="K12" s="2225" t="s">
        <v>1249</v>
      </c>
      <c r="L12" s="2226">
        <v>1</v>
      </c>
      <c r="M12" s="2218" t="s">
        <v>1250</v>
      </c>
      <c r="N12" s="2227">
        <v>6</v>
      </c>
    </row>
    <row r="13" spans="1:14" s="2228" customFormat="1" ht="22" customHeight="1">
      <c r="A13" s="2217">
        <v>9</v>
      </c>
      <c r="B13" s="2217" t="s">
        <v>1252</v>
      </c>
      <c r="C13" s="2218" t="s">
        <v>2328</v>
      </c>
      <c r="D13" s="2219"/>
      <c r="E13" s="2229">
        <v>26289</v>
      </c>
      <c r="F13" s="671">
        <v>28</v>
      </c>
      <c r="G13" s="2221">
        <v>0</v>
      </c>
      <c r="H13" s="2222">
        <v>4</v>
      </c>
      <c r="I13" s="2223">
        <v>1</v>
      </c>
      <c r="J13" s="2224" t="s">
        <v>2329</v>
      </c>
      <c r="K13" s="2225" t="s">
        <v>1255</v>
      </c>
      <c r="L13" s="2226">
        <v>2</v>
      </c>
      <c r="M13" s="2218" t="s">
        <v>1250</v>
      </c>
      <c r="N13" s="2227">
        <v>6</v>
      </c>
    </row>
    <row r="14" spans="1:14" s="2228" customFormat="1" ht="33" customHeight="1">
      <c r="A14" s="2217">
        <v>10</v>
      </c>
      <c r="B14" s="2217" t="s">
        <v>1252</v>
      </c>
      <c r="C14" s="2218" t="s">
        <v>2330</v>
      </c>
      <c r="D14" s="2219"/>
      <c r="E14" s="2229">
        <v>28681</v>
      </c>
      <c r="F14" s="671">
        <v>77255</v>
      </c>
      <c r="G14" s="2221">
        <v>100</v>
      </c>
      <c r="H14" s="2222">
        <v>4900</v>
      </c>
      <c r="I14" s="2223">
        <v>25</v>
      </c>
      <c r="J14" s="2232" t="s">
        <v>2331</v>
      </c>
      <c r="K14" s="2225" t="s">
        <v>1249</v>
      </c>
      <c r="L14" s="2226">
        <v>1</v>
      </c>
      <c r="M14" s="2218" t="s">
        <v>1256</v>
      </c>
      <c r="N14" s="2227" t="s">
        <v>2332</v>
      </c>
    </row>
    <row r="15" spans="1:14" s="2228" customFormat="1" ht="22" customHeight="1">
      <c r="A15" s="2217">
        <v>11</v>
      </c>
      <c r="B15" s="2217" t="s">
        <v>1252</v>
      </c>
      <c r="C15" s="2218" t="s">
        <v>2333</v>
      </c>
      <c r="D15" s="2219" t="s">
        <v>1257</v>
      </c>
      <c r="E15" s="2229">
        <v>31338</v>
      </c>
      <c r="F15" s="671">
        <v>224</v>
      </c>
      <c r="G15" s="2221">
        <v>6</v>
      </c>
      <c r="H15" s="2222">
        <v>86</v>
      </c>
      <c r="I15" s="2223">
        <v>1</v>
      </c>
      <c r="J15" s="2224" t="s">
        <v>2334</v>
      </c>
      <c r="K15" s="2225" t="s">
        <v>1249</v>
      </c>
      <c r="L15" s="2226">
        <v>1</v>
      </c>
      <c r="M15" s="2218" t="s">
        <v>1250</v>
      </c>
      <c r="N15" s="2227">
        <v>6</v>
      </c>
    </row>
    <row r="16" spans="1:14" s="2228" customFormat="1" ht="33" customHeight="1">
      <c r="A16" s="2217">
        <v>12</v>
      </c>
      <c r="B16" s="2217" t="s">
        <v>1252</v>
      </c>
      <c r="C16" s="2218" t="s">
        <v>2335</v>
      </c>
      <c r="D16" s="2219"/>
      <c r="E16" s="2229">
        <v>33056</v>
      </c>
      <c r="F16" s="671">
        <v>1000</v>
      </c>
      <c r="G16" s="2221">
        <v>0</v>
      </c>
      <c r="H16" s="2222">
        <v>800</v>
      </c>
      <c r="I16" s="2223">
        <v>1</v>
      </c>
      <c r="J16" s="2224" t="s">
        <v>2318</v>
      </c>
      <c r="K16" s="2225" t="s">
        <v>1254</v>
      </c>
      <c r="L16" s="2226">
        <v>3</v>
      </c>
      <c r="M16" s="2218" t="s">
        <v>1256</v>
      </c>
      <c r="N16" s="2227" t="s">
        <v>2332</v>
      </c>
    </row>
    <row r="17" spans="1:19" s="2228" customFormat="1" ht="22" customHeight="1">
      <c r="A17" s="2217">
        <v>13</v>
      </c>
      <c r="B17" s="2217" t="s">
        <v>1252</v>
      </c>
      <c r="C17" s="2218" t="s">
        <v>2336</v>
      </c>
      <c r="D17" s="2219"/>
      <c r="E17" s="2229">
        <v>37104</v>
      </c>
      <c r="F17" s="671">
        <v>250</v>
      </c>
      <c r="G17" s="2221">
        <v>20</v>
      </c>
      <c r="H17" s="2222">
        <v>74</v>
      </c>
      <c r="I17" s="2223"/>
      <c r="J17" s="2224" t="s">
        <v>2318</v>
      </c>
      <c r="K17" s="2225" t="s">
        <v>1254</v>
      </c>
      <c r="L17" s="2226">
        <v>3</v>
      </c>
      <c r="M17" s="2218" t="s">
        <v>1250</v>
      </c>
      <c r="N17" s="2227">
        <v>6</v>
      </c>
    </row>
    <row r="18" spans="1:19" s="2228" customFormat="1" ht="22" customHeight="1">
      <c r="A18" s="2217">
        <v>14</v>
      </c>
      <c r="B18" s="2217" t="s">
        <v>1252</v>
      </c>
      <c r="C18" s="2218" t="s">
        <v>2337</v>
      </c>
      <c r="D18" s="2219"/>
      <c r="E18" s="2229">
        <v>37678</v>
      </c>
      <c r="F18" s="671">
        <v>472</v>
      </c>
      <c r="G18" s="2221">
        <v>5</v>
      </c>
      <c r="H18" s="2222">
        <v>40</v>
      </c>
      <c r="I18" s="2221"/>
      <c r="J18" s="2224" t="s">
        <v>2318</v>
      </c>
      <c r="K18" s="2225" t="s">
        <v>1254</v>
      </c>
      <c r="L18" s="2226">
        <v>3</v>
      </c>
      <c r="M18" s="2218" t="s">
        <v>1253</v>
      </c>
      <c r="N18" s="2227">
        <v>2</v>
      </c>
    </row>
    <row r="19" spans="1:19" s="2228" customFormat="1" ht="22" customHeight="1">
      <c r="A19" s="2217">
        <v>15</v>
      </c>
      <c r="B19" s="2217" t="s">
        <v>2338</v>
      </c>
      <c r="C19" s="2218" t="s">
        <v>1258</v>
      </c>
      <c r="D19" s="2233"/>
      <c r="E19" s="2229">
        <v>42705</v>
      </c>
      <c r="F19" s="671">
        <v>781</v>
      </c>
      <c r="G19" s="2221">
        <v>75</v>
      </c>
      <c r="H19" s="2222">
        <v>220</v>
      </c>
      <c r="I19" s="2223">
        <v>2</v>
      </c>
      <c r="J19" s="2224" t="s">
        <v>2318</v>
      </c>
      <c r="K19" s="2225" t="s">
        <v>1249</v>
      </c>
      <c r="L19" s="2226">
        <v>1</v>
      </c>
      <c r="M19" s="2218" t="s">
        <v>1250</v>
      </c>
      <c r="N19" s="2227">
        <v>6</v>
      </c>
    </row>
    <row r="20" spans="1:19" s="2228" customFormat="1" ht="22" customHeight="1">
      <c r="A20" s="2217">
        <v>16</v>
      </c>
      <c r="B20" s="2217" t="s">
        <v>1252</v>
      </c>
      <c r="C20" s="2218" t="s">
        <v>1259</v>
      </c>
      <c r="D20" s="2233"/>
      <c r="E20" s="2229">
        <v>43290</v>
      </c>
      <c r="F20" s="671">
        <v>1516</v>
      </c>
      <c r="G20" s="2221">
        <v>0</v>
      </c>
      <c r="H20" s="2222">
        <v>250</v>
      </c>
      <c r="I20" s="2223">
        <v>7</v>
      </c>
      <c r="J20" s="2224" t="s">
        <v>2318</v>
      </c>
      <c r="K20" s="2225" t="s">
        <v>1249</v>
      </c>
      <c r="L20" s="2226">
        <v>1</v>
      </c>
      <c r="M20" s="2218" t="s">
        <v>1250</v>
      </c>
      <c r="N20" s="2227">
        <v>6</v>
      </c>
    </row>
    <row r="21" spans="1:19" s="2228" customFormat="1" ht="22" customHeight="1">
      <c r="A21" s="2217">
        <v>17</v>
      </c>
      <c r="B21" s="2217" t="s">
        <v>694</v>
      </c>
      <c r="C21" s="2218" t="s">
        <v>2339</v>
      </c>
      <c r="D21" s="2219"/>
      <c r="E21" s="2220">
        <v>25490</v>
      </c>
      <c r="F21" s="671">
        <v>5000</v>
      </c>
      <c r="G21" s="2221">
        <v>237</v>
      </c>
      <c r="H21" s="2222">
        <v>1000</v>
      </c>
      <c r="I21" s="2223">
        <v>3</v>
      </c>
      <c r="J21" s="2224" t="s">
        <v>2340</v>
      </c>
      <c r="K21" s="2225" t="s">
        <v>1249</v>
      </c>
      <c r="L21" s="2226">
        <v>1</v>
      </c>
      <c r="M21" s="2218" t="s">
        <v>1260</v>
      </c>
      <c r="N21" s="2227" t="s">
        <v>2341</v>
      </c>
    </row>
    <row r="22" spans="1:19" s="2228" customFormat="1" ht="22" customHeight="1">
      <c r="A22" s="2217">
        <v>18</v>
      </c>
      <c r="B22" s="2217" t="s">
        <v>705</v>
      </c>
      <c r="C22" s="2218" t="s">
        <v>1261</v>
      </c>
      <c r="D22" s="2219"/>
      <c r="E22" s="2220">
        <v>36982</v>
      </c>
      <c r="F22" s="671">
        <v>30</v>
      </c>
      <c r="G22" s="2221"/>
      <c r="H22" s="2222">
        <v>400</v>
      </c>
      <c r="I22" s="2223">
        <v>2</v>
      </c>
      <c r="J22" s="2224" t="s">
        <v>2334</v>
      </c>
      <c r="K22" s="2225" t="s">
        <v>1249</v>
      </c>
      <c r="L22" s="2226">
        <v>1</v>
      </c>
      <c r="M22" s="2218" t="s">
        <v>1250</v>
      </c>
      <c r="N22" s="2227">
        <v>6</v>
      </c>
    </row>
    <row r="23" spans="1:19" s="2228" customFormat="1" ht="22" customHeight="1">
      <c r="A23" s="2217">
        <v>19</v>
      </c>
      <c r="B23" s="2217" t="s">
        <v>705</v>
      </c>
      <c r="C23" s="2218" t="s">
        <v>2342</v>
      </c>
      <c r="D23" s="2219"/>
      <c r="E23" s="2220">
        <v>39528</v>
      </c>
      <c r="F23" s="671">
        <v>300</v>
      </c>
      <c r="G23" s="2221"/>
      <c r="H23" s="2222">
        <v>100</v>
      </c>
      <c r="I23" s="2223"/>
      <c r="J23" s="2224" t="s">
        <v>2343</v>
      </c>
      <c r="K23" s="2225" t="s">
        <v>1249</v>
      </c>
      <c r="L23" s="2226">
        <v>1</v>
      </c>
      <c r="M23" s="2218" t="s">
        <v>1250</v>
      </c>
      <c r="N23" s="2227">
        <v>6</v>
      </c>
    </row>
    <row r="24" spans="1:19" s="2228" customFormat="1" ht="22" customHeight="1">
      <c r="A24" s="2217">
        <v>20</v>
      </c>
      <c r="B24" s="2217" t="s">
        <v>705</v>
      </c>
      <c r="C24" s="2218" t="s">
        <v>2344</v>
      </c>
      <c r="D24" s="2219"/>
      <c r="E24" s="2220">
        <v>23955</v>
      </c>
      <c r="F24" s="671">
        <v>500</v>
      </c>
      <c r="G24" s="2221"/>
      <c r="H24" s="2222">
        <v>150</v>
      </c>
      <c r="I24" s="2223">
        <v>1</v>
      </c>
      <c r="J24" s="2224" t="s">
        <v>2334</v>
      </c>
      <c r="K24" s="2225" t="s">
        <v>1249</v>
      </c>
      <c r="L24" s="2226">
        <v>1</v>
      </c>
      <c r="M24" s="2218" t="s">
        <v>1250</v>
      </c>
      <c r="N24" s="2227">
        <v>6</v>
      </c>
    </row>
    <row r="25" spans="1:19" s="2228" customFormat="1" ht="22" customHeight="1">
      <c r="A25" s="2217">
        <v>21</v>
      </c>
      <c r="B25" s="2217" t="s">
        <v>712</v>
      </c>
      <c r="C25" s="2218" t="s">
        <v>2345</v>
      </c>
      <c r="D25" s="2219"/>
      <c r="E25" s="2220">
        <v>39583</v>
      </c>
      <c r="F25" s="671">
        <v>8</v>
      </c>
      <c r="G25" s="2221">
        <v>0</v>
      </c>
      <c r="H25" s="2222">
        <v>631</v>
      </c>
      <c r="I25" s="2223">
        <v>5</v>
      </c>
      <c r="J25" s="2224" t="s">
        <v>2318</v>
      </c>
      <c r="K25" s="2225" t="s">
        <v>1249</v>
      </c>
      <c r="L25" s="2226">
        <v>1</v>
      </c>
      <c r="M25" s="2218" t="s">
        <v>1250</v>
      </c>
      <c r="N25" s="2227">
        <v>6</v>
      </c>
    </row>
    <row r="26" spans="1:19" s="2228" customFormat="1" ht="22" customHeight="1">
      <c r="A26" s="2217">
        <v>22</v>
      </c>
      <c r="B26" s="2217" t="s">
        <v>716</v>
      </c>
      <c r="C26" s="2218" t="s">
        <v>2346</v>
      </c>
      <c r="D26" s="2219"/>
      <c r="E26" s="2220"/>
      <c r="F26" s="671">
        <v>5</v>
      </c>
      <c r="G26" s="2221">
        <v>5</v>
      </c>
      <c r="H26" s="2222">
        <v>1123</v>
      </c>
      <c r="I26" s="2223">
        <v>1</v>
      </c>
      <c r="J26" s="2224" t="s">
        <v>793</v>
      </c>
      <c r="K26" s="2225" t="s">
        <v>1249</v>
      </c>
      <c r="L26" s="2226">
        <v>1</v>
      </c>
      <c r="M26" s="2218" t="s">
        <v>1250</v>
      </c>
      <c r="N26" s="2227">
        <v>6</v>
      </c>
    </row>
    <row r="27" spans="1:19" s="2228" customFormat="1" ht="22" customHeight="1">
      <c r="A27" s="2217">
        <v>23</v>
      </c>
      <c r="B27" s="2217" t="s">
        <v>717</v>
      </c>
      <c r="C27" s="2218" t="s">
        <v>2347</v>
      </c>
      <c r="D27" s="2219"/>
      <c r="E27" s="2220">
        <v>44287</v>
      </c>
      <c r="F27" s="671">
        <v>584</v>
      </c>
      <c r="G27" s="2221"/>
      <c r="H27" s="2222">
        <v>400</v>
      </c>
      <c r="I27" s="2223">
        <v>1</v>
      </c>
      <c r="J27" s="2224" t="s">
        <v>2318</v>
      </c>
      <c r="K27" s="2225" t="s">
        <v>1249</v>
      </c>
      <c r="L27" s="2226">
        <v>1</v>
      </c>
      <c r="M27" s="2218" t="s">
        <v>1250</v>
      </c>
      <c r="N27" s="2227">
        <v>6</v>
      </c>
    </row>
    <row r="28" spans="1:19" s="2228" customFormat="1" ht="22" customHeight="1">
      <c r="A28" s="2217">
        <v>24</v>
      </c>
      <c r="B28" s="2217" t="s">
        <v>717</v>
      </c>
      <c r="C28" s="2218" t="s">
        <v>2348</v>
      </c>
      <c r="D28" s="2233"/>
      <c r="E28" s="2220">
        <v>44287</v>
      </c>
      <c r="F28" s="671">
        <v>70</v>
      </c>
      <c r="G28" s="2221"/>
      <c r="H28" s="2222">
        <v>25</v>
      </c>
      <c r="I28" s="2223">
        <v>2</v>
      </c>
      <c r="J28" s="2224" t="s">
        <v>2318</v>
      </c>
      <c r="K28" s="2225" t="s">
        <v>1249</v>
      </c>
      <c r="L28" s="2226">
        <v>1</v>
      </c>
      <c r="M28" s="2218" t="s">
        <v>1250</v>
      </c>
      <c r="N28" s="2227">
        <v>6</v>
      </c>
    </row>
    <row r="29" spans="1:19" s="2228" customFormat="1" ht="22" customHeight="1">
      <c r="A29" s="2217">
        <v>25</v>
      </c>
      <c r="B29" s="2217" t="s">
        <v>726</v>
      </c>
      <c r="C29" s="2218" t="s">
        <v>2349</v>
      </c>
      <c r="D29" s="2234"/>
      <c r="E29" s="2235">
        <v>41362</v>
      </c>
      <c r="F29" s="671">
        <v>2450</v>
      </c>
      <c r="G29" s="2221">
        <v>0</v>
      </c>
      <c r="H29" s="2222">
        <v>250</v>
      </c>
      <c r="I29" s="2223">
        <v>3</v>
      </c>
      <c r="J29" s="2232" t="s">
        <v>2350</v>
      </c>
      <c r="K29" s="2225" t="s">
        <v>1254</v>
      </c>
      <c r="L29" s="2226">
        <v>3</v>
      </c>
      <c r="M29" s="2218" t="s">
        <v>1250</v>
      </c>
      <c r="N29" s="2227">
        <v>6</v>
      </c>
    </row>
    <row r="30" spans="1:19" s="2228" customFormat="1" ht="22" customHeight="1">
      <c r="A30" s="2217">
        <v>26</v>
      </c>
      <c r="B30" s="2217" t="s">
        <v>726</v>
      </c>
      <c r="C30" s="2218" t="s">
        <v>2351</v>
      </c>
      <c r="D30" s="2234"/>
      <c r="E30" s="2235">
        <v>42131</v>
      </c>
      <c r="F30" s="671">
        <v>174</v>
      </c>
      <c r="G30" s="2221">
        <v>0</v>
      </c>
      <c r="H30" s="2222">
        <v>50</v>
      </c>
      <c r="I30" s="2223">
        <v>1</v>
      </c>
      <c r="J30" s="2232" t="s">
        <v>2350</v>
      </c>
      <c r="K30" s="2225" t="s">
        <v>1254</v>
      </c>
      <c r="L30" s="2226">
        <v>3</v>
      </c>
      <c r="M30" s="2218" t="s">
        <v>1250</v>
      </c>
      <c r="N30" s="2227">
        <v>6</v>
      </c>
      <c r="O30" s="2236"/>
      <c r="P30" s="2236"/>
      <c r="Q30" s="2236"/>
      <c r="R30" s="2236"/>
      <c r="S30" s="2236"/>
    </row>
    <row r="31" spans="1:19" s="2228" customFormat="1" ht="22" customHeight="1">
      <c r="A31" s="2217">
        <v>27</v>
      </c>
      <c r="B31" s="2217" t="s">
        <v>726</v>
      </c>
      <c r="C31" s="2218" t="s">
        <v>2352</v>
      </c>
      <c r="D31" s="2234"/>
      <c r="E31" s="2235">
        <v>39833</v>
      </c>
      <c r="F31" s="671">
        <v>170</v>
      </c>
      <c r="G31" s="2221">
        <v>0</v>
      </c>
      <c r="H31" s="2222">
        <v>34</v>
      </c>
      <c r="I31" s="2223">
        <v>1</v>
      </c>
      <c r="J31" s="2232" t="s">
        <v>2353</v>
      </c>
      <c r="K31" s="2225" t="s">
        <v>1254</v>
      </c>
      <c r="L31" s="2226">
        <v>3</v>
      </c>
      <c r="M31" s="2218" t="s">
        <v>1250</v>
      </c>
      <c r="N31" s="2227">
        <v>6</v>
      </c>
    </row>
    <row r="32" spans="1:19" s="2228" customFormat="1" ht="22" customHeight="1">
      <c r="A32" s="2217">
        <v>28</v>
      </c>
      <c r="B32" s="2217" t="s">
        <v>727</v>
      </c>
      <c r="C32" s="2218" t="s">
        <v>2354</v>
      </c>
      <c r="D32" s="2233"/>
      <c r="E32" s="2220">
        <v>37838</v>
      </c>
      <c r="F32" s="671">
        <v>240</v>
      </c>
      <c r="G32" s="2221">
        <v>0</v>
      </c>
      <c r="H32" s="2222">
        <v>80</v>
      </c>
      <c r="I32" s="2223">
        <v>1</v>
      </c>
      <c r="J32" s="2224" t="s">
        <v>2318</v>
      </c>
      <c r="K32" s="2225" t="s">
        <v>1249</v>
      </c>
      <c r="L32" s="2226">
        <v>1</v>
      </c>
      <c r="M32" s="2218" t="s">
        <v>1250</v>
      </c>
      <c r="N32" s="2227">
        <v>6</v>
      </c>
    </row>
    <row r="33" spans="1:14" s="2228" customFormat="1" ht="22" customHeight="1">
      <c r="A33" s="2217">
        <v>29</v>
      </c>
      <c r="B33" s="2217" t="s">
        <v>727</v>
      </c>
      <c r="C33" s="2218" t="s">
        <v>2355</v>
      </c>
      <c r="D33" s="2219"/>
      <c r="E33" s="2220">
        <v>37830</v>
      </c>
      <c r="F33" s="671">
        <v>400</v>
      </c>
      <c r="G33" s="2221">
        <v>0</v>
      </c>
      <c r="H33" s="2222">
        <v>180</v>
      </c>
      <c r="I33" s="2223">
        <v>1</v>
      </c>
      <c r="J33" s="2224" t="s">
        <v>2318</v>
      </c>
      <c r="K33" s="2225" t="s">
        <v>1249</v>
      </c>
      <c r="L33" s="2226">
        <v>1</v>
      </c>
      <c r="M33" s="2218" t="s">
        <v>1250</v>
      </c>
      <c r="N33" s="2227">
        <v>6</v>
      </c>
    </row>
    <row r="34" spans="1:14" s="2228" customFormat="1" ht="22" customHeight="1">
      <c r="A34" s="2217">
        <v>30</v>
      </c>
      <c r="B34" s="2217" t="s">
        <v>727</v>
      </c>
      <c r="C34" s="2218" t="s">
        <v>1262</v>
      </c>
      <c r="D34" s="2219"/>
      <c r="E34" s="2220">
        <v>40643</v>
      </c>
      <c r="F34" s="671">
        <v>215</v>
      </c>
      <c r="G34" s="2221">
        <v>0</v>
      </c>
      <c r="H34" s="2222">
        <v>64.5</v>
      </c>
      <c r="I34" s="2223">
        <v>1</v>
      </c>
      <c r="J34" s="2224" t="s">
        <v>2318</v>
      </c>
      <c r="K34" s="2225" t="s">
        <v>1249</v>
      </c>
      <c r="L34" s="2226">
        <v>1</v>
      </c>
      <c r="M34" s="2218" t="s">
        <v>1250</v>
      </c>
      <c r="N34" s="2227">
        <v>6</v>
      </c>
    </row>
    <row r="35" spans="1:14" s="2228" customFormat="1" ht="22" customHeight="1">
      <c r="A35" s="2217">
        <v>31</v>
      </c>
      <c r="B35" s="2217" t="s">
        <v>1263</v>
      </c>
      <c r="C35" s="2218" t="s">
        <v>1264</v>
      </c>
      <c r="D35" s="2219"/>
      <c r="E35" s="2237">
        <v>42675</v>
      </c>
      <c r="F35" s="671">
        <v>200</v>
      </c>
      <c r="G35" s="2221">
        <v>87</v>
      </c>
      <c r="H35" s="2222">
        <v>53</v>
      </c>
      <c r="I35" s="2223">
        <v>1</v>
      </c>
      <c r="J35" s="2224" t="s">
        <v>2318</v>
      </c>
      <c r="K35" s="2225" t="s">
        <v>1249</v>
      </c>
      <c r="L35" s="2226">
        <v>1</v>
      </c>
      <c r="M35" s="2218" t="s">
        <v>1250</v>
      </c>
      <c r="N35" s="2227">
        <v>6</v>
      </c>
    </row>
    <row r="36" spans="1:14" s="2228" customFormat="1" ht="22" customHeight="1">
      <c r="A36" s="2217">
        <v>32</v>
      </c>
      <c r="B36" s="2217" t="s">
        <v>746</v>
      </c>
      <c r="C36" s="2218" t="s">
        <v>2356</v>
      </c>
      <c r="D36" s="2219"/>
      <c r="E36" s="2238">
        <v>37956</v>
      </c>
      <c r="F36" s="671">
        <v>1393</v>
      </c>
      <c r="G36" s="2221">
        <v>45</v>
      </c>
      <c r="H36" s="2239">
        <v>187</v>
      </c>
      <c r="I36" s="2240">
        <v>4</v>
      </c>
      <c r="J36" s="2224" t="s">
        <v>1265</v>
      </c>
      <c r="K36" s="2225" t="s">
        <v>1249</v>
      </c>
      <c r="L36" s="2241">
        <v>1</v>
      </c>
      <c r="M36" s="2218" t="s">
        <v>1253</v>
      </c>
      <c r="N36" s="2242">
        <v>2</v>
      </c>
    </row>
    <row r="37" spans="1:14" s="2228" customFormat="1" ht="22" customHeight="1">
      <c r="A37" s="2217">
        <v>33</v>
      </c>
      <c r="B37" s="2217" t="s">
        <v>1266</v>
      </c>
      <c r="C37" s="2225" t="s">
        <v>2357</v>
      </c>
      <c r="D37" s="2243"/>
      <c r="E37" s="2238">
        <v>41716</v>
      </c>
      <c r="F37" s="671">
        <v>2997</v>
      </c>
      <c r="G37" s="2221">
        <v>0</v>
      </c>
      <c r="H37" s="2239">
        <v>1072</v>
      </c>
      <c r="I37" s="2240"/>
      <c r="J37" s="2224" t="s">
        <v>2318</v>
      </c>
      <c r="K37" s="2225" t="s">
        <v>1254</v>
      </c>
      <c r="L37" s="2241">
        <v>3</v>
      </c>
      <c r="M37" s="2218" t="s">
        <v>1267</v>
      </c>
      <c r="N37" s="2242" t="s">
        <v>2358</v>
      </c>
    </row>
    <row r="38" spans="1:14" s="2228" customFormat="1" ht="22" customHeight="1">
      <c r="A38" s="2217">
        <v>34</v>
      </c>
      <c r="B38" s="2217" t="s">
        <v>1266</v>
      </c>
      <c r="C38" s="2218" t="s">
        <v>2359</v>
      </c>
      <c r="D38" s="2243"/>
      <c r="E38" s="2220">
        <v>40473</v>
      </c>
      <c r="F38" s="671">
        <v>160</v>
      </c>
      <c r="G38" s="2221">
        <v>0</v>
      </c>
      <c r="H38" s="2244">
        <v>70</v>
      </c>
      <c r="I38" s="2245"/>
      <c r="J38" s="2224" t="s">
        <v>2318</v>
      </c>
      <c r="K38" s="2225" t="s">
        <v>1254</v>
      </c>
      <c r="L38" s="2241">
        <v>3</v>
      </c>
      <c r="M38" s="2218" t="s">
        <v>171</v>
      </c>
      <c r="N38" s="2242">
        <v>8</v>
      </c>
    </row>
    <row r="39" spans="1:14" s="2228" customFormat="1" ht="22" customHeight="1">
      <c r="A39" s="2217">
        <v>35</v>
      </c>
      <c r="B39" s="2217" t="s">
        <v>1266</v>
      </c>
      <c r="C39" s="2218" t="s">
        <v>2360</v>
      </c>
      <c r="D39" s="2219"/>
      <c r="E39" s="2220">
        <v>40938</v>
      </c>
      <c r="F39" s="671">
        <v>190</v>
      </c>
      <c r="G39" s="2221">
        <v>0</v>
      </c>
      <c r="H39" s="2222">
        <v>72</v>
      </c>
      <c r="I39" s="2223"/>
      <c r="J39" s="2224" t="s">
        <v>2318</v>
      </c>
      <c r="K39" s="2225" t="s">
        <v>1249</v>
      </c>
      <c r="L39" s="2226">
        <v>1</v>
      </c>
      <c r="M39" s="2218" t="s">
        <v>1250</v>
      </c>
      <c r="N39" s="2227">
        <v>6</v>
      </c>
    </row>
    <row r="40" spans="1:14" s="2228" customFormat="1" ht="22" customHeight="1">
      <c r="A40" s="2217">
        <v>36</v>
      </c>
      <c r="B40" s="2217" t="s">
        <v>1266</v>
      </c>
      <c r="C40" s="2218" t="s">
        <v>2361</v>
      </c>
      <c r="D40" s="2219"/>
      <c r="E40" s="2220">
        <v>41943</v>
      </c>
      <c r="F40" s="671">
        <v>139</v>
      </c>
      <c r="G40" s="2221">
        <v>0</v>
      </c>
      <c r="H40" s="2222">
        <v>432</v>
      </c>
      <c r="I40" s="2223"/>
      <c r="J40" s="2224" t="s">
        <v>2318</v>
      </c>
      <c r="K40" s="2225" t="s">
        <v>1249</v>
      </c>
      <c r="L40" s="2226">
        <v>1</v>
      </c>
      <c r="M40" s="2218" t="s">
        <v>1250</v>
      </c>
      <c r="N40" s="2227">
        <v>6</v>
      </c>
    </row>
    <row r="41" spans="1:14" s="2228" customFormat="1" ht="22" customHeight="1">
      <c r="A41" s="2217">
        <v>37</v>
      </c>
      <c r="B41" s="2217" t="s">
        <v>1266</v>
      </c>
      <c r="C41" s="2218" t="s">
        <v>1268</v>
      </c>
      <c r="D41" s="2219"/>
      <c r="E41" s="2220">
        <v>42726</v>
      </c>
      <c r="F41" s="671">
        <v>1509</v>
      </c>
      <c r="G41" s="2221">
        <v>0</v>
      </c>
      <c r="H41" s="2239">
        <v>267</v>
      </c>
      <c r="I41" s="2240"/>
      <c r="J41" s="2224" t="s">
        <v>2318</v>
      </c>
      <c r="K41" s="2225" t="s">
        <v>1254</v>
      </c>
      <c r="L41" s="2241">
        <v>3</v>
      </c>
      <c r="M41" s="2218" t="s">
        <v>171</v>
      </c>
      <c r="N41" s="2242">
        <v>8</v>
      </c>
    </row>
    <row r="42" spans="1:14" s="2228" customFormat="1" ht="22" customHeight="1">
      <c r="A42" s="2217">
        <v>38</v>
      </c>
      <c r="B42" s="2217" t="s">
        <v>1266</v>
      </c>
      <c r="C42" s="2218" t="s">
        <v>1269</v>
      </c>
      <c r="D42" s="2233"/>
      <c r="E42" s="2246">
        <v>43181</v>
      </c>
      <c r="F42" s="672">
        <v>1040</v>
      </c>
      <c r="G42" s="672">
        <v>0</v>
      </c>
      <c r="H42" s="2247">
        <v>166</v>
      </c>
      <c r="I42" s="2248"/>
      <c r="J42" s="2249" t="s">
        <v>2318</v>
      </c>
      <c r="K42" s="2225" t="s">
        <v>1254</v>
      </c>
      <c r="L42" s="2250">
        <v>3</v>
      </c>
      <c r="M42" s="2218" t="s">
        <v>1250</v>
      </c>
      <c r="N42" s="2242">
        <v>6</v>
      </c>
    </row>
    <row r="43" spans="1:14" s="2228" customFormat="1" ht="22" customHeight="1">
      <c r="A43" s="2217">
        <v>39</v>
      </c>
      <c r="B43" s="2217" t="s">
        <v>1266</v>
      </c>
      <c r="C43" s="2218" t="s">
        <v>1270</v>
      </c>
      <c r="D43" s="2233"/>
      <c r="E43" s="2246">
        <v>43392</v>
      </c>
      <c r="F43" s="672">
        <v>200</v>
      </c>
      <c r="G43" s="672">
        <v>0</v>
      </c>
      <c r="H43" s="2247">
        <v>676</v>
      </c>
      <c r="I43" s="2248"/>
      <c r="J43" s="2249" t="s">
        <v>2318</v>
      </c>
      <c r="K43" s="2225" t="s">
        <v>1254</v>
      </c>
      <c r="L43" s="2250">
        <v>3</v>
      </c>
      <c r="M43" s="2218" t="s">
        <v>1250</v>
      </c>
      <c r="N43" s="2242">
        <v>6</v>
      </c>
    </row>
    <row r="44" spans="1:14" s="2228" customFormat="1" ht="22" customHeight="1">
      <c r="A44" s="2217">
        <v>40</v>
      </c>
      <c r="B44" s="2251" t="s">
        <v>1266</v>
      </c>
      <c r="C44" s="2218" t="s">
        <v>1271</v>
      </c>
      <c r="D44" s="2219"/>
      <c r="E44" s="2220">
        <v>43461</v>
      </c>
      <c r="F44" s="671">
        <v>500</v>
      </c>
      <c r="G44" s="2221">
        <v>0</v>
      </c>
      <c r="H44" s="2222">
        <v>327</v>
      </c>
      <c r="I44" s="2223"/>
      <c r="J44" s="2224" t="s">
        <v>2318</v>
      </c>
      <c r="K44" s="2225" t="s">
        <v>1254</v>
      </c>
      <c r="L44" s="2226">
        <v>3</v>
      </c>
      <c r="M44" s="2218" t="s">
        <v>1250</v>
      </c>
      <c r="N44" s="2227">
        <v>6</v>
      </c>
    </row>
    <row r="45" spans="1:14" s="2228" customFormat="1" ht="22" customHeight="1">
      <c r="A45" s="2217">
        <v>41</v>
      </c>
      <c r="B45" s="2251" t="s">
        <v>1266</v>
      </c>
      <c r="C45" s="2218" t="s">
        <v>2362</v>
      </c>
      <c r="D45" s="2219"/>
      <c r="E45" s="2220">
        <v>44061</v>
      </c>
      <c r="F45" s="671">
        <v>1910</v>
      </c>
      <c r="G45" s="2221">
        <v>0</v>
      </c>
      <c r="H45" s="2222">
        <v>300</v>
      </c>
      <c r="I45" s="2223"/>
      <c r="J45" s="2224" t="s">
        <v>2318</v>
      </c>
      <c r="K45" s="2225" t="s">
        <v>1254</v>
      </c>
      <c r="L45" s="2226">
        <v>3</v>
      </c>
      <c r="M45" s="2218" t="s">
        <v>2363</v>
      </c>
      <c r="N45" s="2227">
        <v>4</v>
      </c>
    </row>
    <row r="46" spans="1:14" s="2228" customFormat="1" ht="22" customHeight="1">
      <c r="A46" s="2217">
        <v>42</v>
      </c>
      <c r="B46" s="2251" t="s">
        <v>1266</v>
      </c>
      <c r="C46" s="2218" t="s">
        <v>2364</v>
      </c>
      <c r="D46" s="2219" t="s">
        <v>1272</v>
      </c>
      <c r="E46" s="2220">
        <v>32850</v>
      </c>
      <c r="F46" s="671"/>
      <c r="G46" s="2221"/>
      <c r="H46" s="2222"/>
      <c r="I46" s="2223">
        <v>1</v>
      </c>
      <c r="J46" s="2224" t="s">
        <v>1273</v>
      </c>
      <c r="K46" s="2225" t="s">
        <v>1249</v>
      </c>
      <c r="L46" s="2226">
        <v>1</v>
      </c>
      <c r="M46" s="2218" t="s">
        <v>1250</v>
      </c>
      <c r="N46" s="2227">
        <v>6</v>
      </c>
    </row>
    <row r="47" spans="1:14" s="2228" customFormat="1" ht="22" customHeight="1">
      <c r="A47" s="2217">
        <v>43</v>
      </c>
      <c r="B47" s="2217" t="s">
        <v>806</v>
      </c>
      <c r="C47" s="2218" t="s">
        <v>2365</v>
      </c>
      <c r="D47" s="2219"/>
      <c r="E47" s="2220">
        <v>41024</v>
      </c>
      <c r="F47" s="671">
        <v>400</v>
      </c>
      <c r="G47" s="2221">
        <v>0</v>
      </c>
      <c r="H47" s="2222">
        <v>1000</v>
      </c>
      <c r="I47" s="2223"/>
      <c r="J47" s="2224" t="s">
        <v>2318</v>
      </c>
      <c r="K47" s="2225" t="s">
        <v>1249</v>
      </c>
      <c r="L47" s="2226">
        <v>1</v>
      </c>
      <c r="M47" s="2218" t="s">
        <v>1250</v>
      </c>
      <c r="N47" s="2227">
        <v>6</v>
      </c>
    </row>
    <row r="48" spans="1:14" s="2228" customFormat="1" ht="22" customHeight="1">
      <c r="A48" s="2217">
        <v>44</v>
      </c>
      <c r="B48" s="2217" t="s">
        <v>806</v>
      </c>
      <c r="C48" s="2218" t="s">
        <v>2366</v>
      </c>
      <c r="D48" s="2219"/>
      <c r="E48" s="2220">
        <v>39023</v>
      </c>
      <c r="F48" s="671">
        <v>400</v>
      </c>
      <c r="G48" s="2221"/>
      <c r="H48" s="2222">
        <v>300</v>
      </c>
      <c r="I48" s="2223"/>
      <c r="J48" s="2224" t="s">
        <v>2318</v>
      </c>
      <c r="K48" s="2225" t="s">
        <v>1249</v>
      </c>
      <c r="L48" s="2226">
        <v>1</v>
      </c>
      <c r="M48" s="2218" t="s">
        <v>1250</v>
      </c>
      <c r="N48" s="2227">
        <v>6</v>
      </c>
    </row>
    <row r="49" spans="1:16" s="2228" customFormat="1" ht="22" customHeight="1">
      <c r="A49" s="2217">
        <v>45</v>
      </c>
      <c r="B49" s="2217" t="s">
        <v>806</v>
      </c>
      <c r="C49" s="2218" t="s">
        <v>2367</v>
      </c>
      <c r="D49" s="2219"/>
      <c r="E49" s="2220">
        <v>41453</v>
      </c>
      <c r="F49" s="671">
        <v>871</v>
      </c>
      <c r="G49" s="2221"/>
      <c r="H49" s="2222">
        <v>65</v>
      </c>
      <c r="I49" s="2223"/>
      <c r="J49" s="2224" t="s">
        <v>2318</v>
      </c>
      <c r="K49" s="2225" t="s">
        <v>1249</v>
      </c>
      <c r="L49" s="2226">
        <v>1</v>
      </c>
      <c r="M49" s="2218" t="s">
        <v>1250</v>
      </c>
      <c r="N49" s="2227">
        <v>6</v>
      </c>
    </row>
    <row r="50" spans="1:16" s="2228" customFormat="1" ht="22" customHeight="1">
      <c r="A50" s="2217">
        <v>46</v>
      </c>
      <c r="B50" s="2217" t="s">
        <v>806</v>
      </c>
      <c r="C50" s="2218" t="s">
        <v>2368</v>
      </c>
      <c r="D50" s="2252"/>
      <c r="E50" s="2235">
        <v>41752</v>
      </c>
      <c r="F50" s="673">
        <v>926</v>
      </c>
      <c r="G50" s="674"/>
      <c r="H50" s="2222">
        <v>62</v>
      </c>
      <c r="I50" s="2223"/>
      <c r="J50" s="2253" t="s">
        <v>2318</v>
      </c>
      <c r="K50" s="2225" t="s">
        <v>1254</v>
      </c>
      <c r="L50" s="2226">
        <v>3</v>
      </c>
      <c r="M50" s="2218" t="s">
        <v>171</v>
      </c>
      <c r="N50" s="2227">
        <v>8</v>
      </c>
    </row>
    <row r="51" spans="1:16" s="2228" customFormat="1" ht="22" customHeight="1">
      <c r="A51" s="2217">
        <v>47</v>
      </c>
      <c r="B51" s="2217" t="s">
        <v>755</v>
      </c>
      <c r="C51" s="2218" t="s">
        <v>2369</v>
      </c>
      <c r="D51" s="2252"/>
      <c r="E51" s="2235">
        <v>42095</v>
      </c>
      <c r="F51" s="671">
        <v>0</v>
      </c>
      <c r="G51" s="2221">
        <v>0</v>
      </c>
      <c r="H51" s="2222">
        <v>648</v>
      </c>
      <c r="I51" s="2223">
        <v>1</v>
      </c>
      <c r="J51" s="2224" t="s">
        <v>793</v>
      </c>
      <c r="K51" s="2225" t="s">
        <v>1249</v>
      </c>
      <c r="L51" s="2226">
        <v>1</v>
      </c>
      <c r="M51" s="2218" t="s">
        <v>1250</v>
      </c>
      <c r="N51" s="2227">
        <v>6</v>
      </c>
    </row>
    <row r="52" spans="1:16" s="2228" customFormat="1" ht="22" customHeight="1">
      <c r="A52" s="2217">
        <v>48</v>
      </c>
      <c r="B52" s="2254" t="s">
        <v>434</v>
      </c>
      <c r="C52" s="2218" t="s">
        <v>1274</v>
      </c>
      <c r="D52" s="2252" t="s">
        <v>1272</v>
      </c>
      <c r="E52" s="2235">
        <v>39539</v>
      </c>
      <c r="F52" s="671">
        <v>0</v>
      </c>
      <c r="G52" s="2221">
        <v>0</v>
      </c>
      <c r="H52" s="2222">
        <v>868</v>
      </c>
      <c r="I52" s="2223">
        <v>1</v>
      </c>
      <c r="J52" s="2224" t="s">
        <v>1265</v>
      </c>
      <c r="K52" s="2225" t="s">
        <v>1249</v>
      </c>
      <c r="L52" s="2226">
        <v>1</v>
      </c>
      <c r="M52" s="2218" t="s">
        <v>1250</v>
      </c>
      <c r="N52" s="2227">
        <v>6</v>
      </c>
    </row>
    <row r="53" spans="1:16" s="2228" customFormat="1" ht="22" customHeight="1">
      <c r="A53" s="2217">
        <v>49</v>
      </c>
      <c r="B53" s="2217" t="s">
        <v>1275</v>
      </c>
      <c r="C53" s="2218" t="s">
        <v>1276</v>
      </c>
      <c r="D53" s="2252"/>
      <c r="E53" s="2235">
        <v>38245</v>
      </c>
      <c r="F53" s="671">
        <v>140</v>
      </c>
      <c r="G53" s="2221">
        <v>14</v>
      </c>
      <c r="H53" s="2222">
        <v>227</v>
      </c>
      <c r="I53" s="2223"/>
      <c r="J53" s="2224" t="s">
        <v>793</v>
      </c>
      <c r="K53" s="2225" t="s">
        <v>1249</v>
      </c>
      <c r="L53" s="2226">
        <v>1</v>
      </c>
      <c r="M53" s="2218" t="s">
        <v>1250</v>
      </c>
      <c r="N53" s="2227">
        <v>6</v>
      </c>
    </row>
    <row r="54" spans="1:16" s="2228" customFormat="1" ht="22" customHeight="1">
      <c r="A54" s="2217">
        <v>50</v>
      </c>
      <c r="B54" s="2217" t="s">
        <v>1275</v>
      </c>
      <c r="C54" s="2218" t="s">
        <v>2370</v>
      </c>
      <c r="D54" s="2252"/>
      <c r="E54" s="2235">
        <v>37529</v>
      </c>
      <c r="F54" s="2255">
        <v>550</v>
      </c>
      <c r="G54" s="2256">
        <v>19</v>
      </c>
      <c r="H54" s="2222">
        <v>416</v>
      </c>
      <c r="I54" s="2223"/>
      <c r="J54" s="2232" t="s">
        <v>2318</v>
      </c>
      <c r="K54" s="2225" t="s">
        <v>1249</v>
      </c>
      <c r="L54" s="2226">
        <v>1</v>
      </c>
      <c r="M54" s="2218" t="s">
        <v>1250</v>
      </c>
      <c r="N54" s="2227">
        <v>6</v>
      </c>
    </row>
    <row r="55" spans="1:16" s="2228" customFormat="1" ht="22" customHeight="1">
      <c r="A55" s="2217">
        <v>51</v>
      </c>
      <c r="B55" s="2217" t="s">
        <v>1275</v>
      </c>
      <c r="C55" s="2218" t="s">
        <v>2371</v>
      </c>
      <c r="D55" s="2257"/>
      <c r="E55" s="2235">
        <v>41949</v>
      </c>
      <c r="F55" s="2255">
        <v>400</v>
      </c>
      <c r="G55" s="2256">
        <v>28</v>
      </c>
      <c r="H55" s="2222">
        <v>723</v>
      </c>
      <c r="I55" s="2223"/>
      <c r="J55" s="2232" t="s">
        <v>2318</v>
      </c>
      <c r="K55" s="2225" t="s">
        <v>1249</v>
      </c>
      <c r="L55" s="2226">
        <v>1</v>
      </c>
      <c r="M55" s="2218" t="s">
        <v>1250</v>
      </c>
      <c r="N55" s="2227">
        <v>6</v>
      </c>
    </row>
    <row r="56" spans="1:16" s="2228" customFormat="1" ht="22" customHeight="1">
      <c r="A56" s="2217">
        <v>52</v>
      </c>
      <c r="B56" s="2258" t="s">
        <v>760</v>
      </c>
      <c r="C56" s="2218" t="s">
        <v>1277</v>
      </c>
      <c r="D56" s="2252"/>
      <c r="E56" s="2235">
        <v>37525</v>
      </c>
      <c r="F56" s="2255">
        <v>1118</v>
      </c>
      <c r="G56" s="2256"/>
      <c r="H56" s="2222">
        <v>277</v>
      </c>
      <c r="I56" s="2223">
        <v>1</v>
      </c>
      <c r="J56" s="2232" t="s">
        <v>2318</v>
      </c>
      <c r="K56" s="2225" t="s">
        <v>1249</v>
      </c>
      <c r="L56" s="2226">
        <v>1</v>
      </c>
      <c r="M56" s="2218" t="s">
        <v>1250</v>
      </c>
      <c r="N56" s="2227">
        <v>6</v>
      </c>
      <c r="P56" s="2259"/>
    </row>
    <row r="57" spans="1:16" s="2228" customFormat="1" ht="22" customHeight="1">
      <c r="A57" s="2217">
        <v>53</v>
      </c>
      <c r="B57" s="2258" t="s">
        <v>760</v>
      </c>
      <c r="C57" s="2260" t="s">
        <v>1278</v>
      </c>
      <c r="D57" s="2252"/>
      <c r="E57" s="2235">
        <v>37712</v>
      </c>
      <c r="F57" s="2255">
        <v>39</v>
      </c>
      <c r="G57" s="2256"/>
      <c r="H57" s="2222">
        <v>40</v>
      </c>
      <c r="I57" s="2223">
        <v>1</v>
      </c>
      <c r="J57" s="2232" t="s">
        <v>2318</v>
      </c>
      <c r="K57" s="2225" t="s">
        <v>1249</v>
      </c>
      <c r="L57" s="2226">
        <v>1</v>
      </c>
      <c r="M57" s="2218" t="s">
        <v>1253</v>
      </c>
      <c r="N57" s="2227">
        <v>2</v>
      </c>
    </row>
    <row r="58" spans="1:16" s="2228" customFormat="1" ht="22" customHeight="1">
      <c r="A58" s="2217">
        <v>54</v>
      </c>
      <c r="B58" s="2258" t="s">
        <v>760</v>
      </c>
      <c r="C58" s="2218" t="s">
        <v>1279</v>
      </c>
      <c r="D58" s="2252"/>
      <c r="E58" s="2235">
        <v>37529</v>
      </c>
      <c r="F58" s="2255">
        <v>500</v>
      </c>
      <c r="G58" s="2256"/>
      <c r="H58" s="2222">
        <v>33</v>
      </c>
      <c r="I58" s="2223">
        <v>1</v>
      </c>
      <c r="J58" s="2232" t="s">
        <v>2318</v>
      </c>
      <c r="K58" s="2225" t="s">
        <v>1249</v>
      </c>
      <c r="L58" s="2226">
        <v>1</v>
      </c>
      <c r="M58" s="2218" t="s">
        <v>1250</v>
      </c>
      <c r="N58" s="2227">
        <v>6</v>
      </c>
    </row>
    <row r="59" spans="1:16" s="2228" customFormat="1" ht="22" customHeight="1">
      <c r="A59" s="2217">
        <v>55</v>
      </c>
      <c r="B59" s="2258" t="s">
        <v>760</v>
      </c>
      <c r="C59" s="2218" t="s">
        <v>1280</v>
      </c>
      <c r="D59" s="2252"/>
      <c r="E59" s="2235">
        <v>37529</v>
      </c>
      <c r="F59" s="2255">
        <v>378</v>
      </c>
      <c r="G59" s="2256"/>
      <c r="H59" s="2239">
        <v>58</v>
      </c>
      <c r="I59" s="2240">
        <v>1</v>
      </c>
      <c r="J59" s="2232" t="s">
        <v>2318</v>
      </c>
      <c r="K59" s="2225" t="s">
        <v>1249</v>
      </c>
      <c r="L59" s="2241">
        <v>1</v>
      </c>
      <c r="M59" s="2218" t="s">
        <v>1250</v>
      </c>
      <c r="N59" s="2242">
        <v>6</v>
      </c>
    </row>
    <row r="60" spans="1:16" s="2228" customFormat="1" ht="22" customHeight="1">
      <c r="A60" s="2217">
        <v>56</v>
      </c>
      <c r="B60" s="2258" t="s">
        <v>760</v>
      </c>
      <c r="C60" s="2218" t="s">
        <v>1281</v>
      </c>
      <c r="D60" s="2252"/>
      <c r="E60" s="2235">
        <v>37529</v>
      </c>
      <c r="F60" s="2255">
        <v>126</v>
      </c>
      <c r="G60" s="2256">
        <v>124</v>
      </c>
      <c r="H60" s="2222">
        <v>40</v>
      </c>
      <c r="I60" s="2223">
        <v>1</v>
      </c>
      <c r="J60" s="2232" t="s">
        <v>2318</v>
      </c>
      <c r="K60" s="2225" t="s">
        <v>1249</v>
      </c>
      <c r="L60" s="2226">
        <v>1</v>
      </c>
      <c r="M60" s="2218" t="s">
        <v>1250</v>
      </c>
      <c r="N60" s="2227">
        <v>6</v>
      </c>
    </row>
    <row r="61" spans="1:16" s="2228" customFormat="1" ht="22" customHeight="1">
      <c r="A61" s="2217">
        <v>57</v>
      </c>
      <c r="B61" s="2258" t="s">
        <v>760</v>
      </c>
      <c r="C61" s="2218" t="s">
        <v>1282</v>
      </c>
      <c r="D61" s="2261"/>
      <c r="E61" s="2235">
        <v>37316</v>
      </c>
      <c r="F61" s="2255">
        <v>814</v>
      </c>
      <c r="G61" s="2256"/>
      <c r="H61" s="2244">
        <v>814</v>
      </c>
      <c r="I61" s="2262">
        <v>1</v>
      </c>
      <c r="J61" s="2232" t="s">
        <v>2318</v>
      </c>
      <c r="K61" s="2225" t="s">
        <v>1254</v>
      </c>
      <c r="L61" s="2241">
        <v>3</v>
      </c>
      <c r="M61" s="2260" t="s">
        <v>1253</v>
      </c>
      <c r="N61" s="2227">
        <v>2</v>
      </c>
    </row>
    <row r="62" spans="1:16" s="2228" customFormat="1" ht="22" customHeight="1">
      <c r="A62" s="2217">
        <v>58</v>
      </c>
      <c r="B62" s="2258" t="s">
        <v>760</v>
      </c>
      <c r="C62" s="2218" t="s">
        <v>1283</v>
      </c>
      <c r="D62" s="2243"/>
      <c r="E62" s="2263">
        <v>37377</v>
      </c>
      <c r="F62" s="2255">
        <v>410</v>
      </c>
      <c r="G62" s="2256"/>
      <c r="H62" s="2264">
        <v>130</v>
      </c>
      <c r="I62" s="2265">
        <v>1</v>
      </c>
      <c r="J62" s="2232" t="s">
        <v>2318</v>
      </c>
      <c r="K62" s="2225" t="s">
        <v>1254</v>
      </c>
      <c r="L62" s="2241">
        <v>3</v>
      </c>
      <c r="M62" s="2218" t="s">
        <v>1253</v>
      </c>
      <c r="N62" s="2242">
        <v>2</v>
      </c>
    </row>
    <row r="63" spans="1:16" s="2228" customFormat="1" ht="22" customHeight="1">
      <c r="A63" s="2217">
        <v>59</v>
      </c>
      <c r="B63" s="2258" t="s">
        <v>760</v>
      </c>
      <c r="C63" s="2225" t="s">
        <v>1284</v>
      </c>
      <c r="D63" s="2252"/>
      <c r="E63" s="2235">
        <v>36069</v>
      </c>
      <c r="F63" s="2255">
        <v>1033</v>
      </c>
      <c r="G63" s="2256"/>
      <c r="H63" s="2222">
        <v>310</v>
      </c>
      <c r="I63" s="2223">
        <v>1</v>
      </c>
      <c r="J63" s="2232" t="s">
        <v>2318</v>
      </c>
      <c r="K63" s="2225" t="s">
        <v>1249</v>
      </c>
      <c r="L63" s="2226">
        <v>1</v>
      </c>
      <c r="M63" s="2218" t="s">
        <v>1250</v>
      </c>
      <c r="N63" s="2227">
        <v>6</v>
      </c>
    </row>
    <row r="64" spans="1:16" s="2228" customFormat="1" ht="22" customHeight="1">
      <c r="A64" s="2217">
        <v>60</v>
      </c>
      <c r="B64" s="2258" t="s">
        <v>760</v>
      </c>
      <c r="C64" s="2225" t="s">
        <v>1285</v>
      </c>
      <c r="D64" s="2252"/>
      <c r="E64" s="2235">
        <v>39356</v>
      </c>
      <c r="F64" s="2255">
        <v>634</v>
      </c>
      <c r="G64" s="2256"/>
      <c r="H64" s="2222">
        <v>399</v>
      </c>
      <c r="I64" s="2223">
        <v>1</v>
      </c>
      <c r="J64" s="2232" t="s">
        <v>2318</v>
      </c>
      <c r="K64" s="2225" t="s">
        <v>1254</v>
      </c>
      <c r="L64" s="2226">
        <v>3</v>
      </c>
      <c r="M64" s="2218" t="s">
        <v>171</v>
      </c>
      <c r="N64" s="2227">
        <v>8</v>
      </c>
    </row>
    <row r="65" spans="1:14" s="2228" customFormat="1" ht="22" customHeight="1">
      <c r="A65" s="2217">
        <v>61</v>
      </c>
      <c r="B65" s="2258" t="s">
        <v>760</v>
      </c>
      <c r="C65" s="2218" t="s">
        <v>1286</v>
      </c>
      <c r="D65" s="2252"/>
      <c r="E65" s="2235">
        <v>39371</v>
      </c>
      <c r="F65" s="2255">
        <v>7775</v>
      </c>
      <c r="G65" s="2256"/>
      <c r="H65" s="2239">
        <v>188</v>
      </c>
      <c r="I65" s="2240">
        <v>1</v>
      </c>
      <c r="J65" s="2232" t="s">
        <v>2318</v>
      </c>
      <c r="K65" s="2225" t="s">
        <v>1254</v>
      </c>
      <c r="L65" s="2241">
        <v>3</v>
      </c>
      <c r="M65" s="2218" t="s">
        <v>171</v>
      </c>
      <c r="N65" s="2242">
        <v>8</v>
      </c>
    </row>
    <row r="66" spans="1:14" s="2228" customFormat="1" ht="22" customHeight="1">
      <c r="A66" s="2217">
        <v>62</v>
      </c>
      <c r="B66" s="2258" t="s">
        <v>760</v>
      </c>
      <c r="C66" s="2218" t="s">
        <v>1287</v>
      </c>
      <c r="D66" s="2252"/>
      <c r="E66" s="2235">
        <v>39512</v>
      </c>
      <c r="F66" s="2255">
        <v>587</v>
      </c>
      <c r="G66" s="2256"/>
      <c r="H66" s="2239">
        <v>120</v>
      </c>
      <c r="I66" s="2240">
        <v>1</v>
      </c>
      <c r="J66" s="2232" t="s">
        <v>2318</v>
      </c>
      <c r="K66" s="2225" t="s">
        <v>1254</v>
      </c>
      <c r="L66" s="2241">
        <v>3</v>
      </c>
      <c r="M66" s="2218" t="s">
        <v>171</v>
      </c>
      <c r="N66" s="2242">
        <v>8</v>
      </c>
    </row>
    <row r="67" spans="1:14" s="2228" customFormat="1" ht="22" customHeight="1">
      <c r="A67" s="2217">
        <v>63</v>
      </c>
      <c r="B67" s="2258" t="s">
        <v>760</v>
      </c>
      <c r="C67" s="2218" t="s">
        <v>1288</v>
      </c>
      <c r="D67" s="2252"/>
      <c r="E67" s="2235">
        <v>40158</v>
      </c>
      <c r="F67" s="2255">
        <v>2052</v>
      </c>
      <c r="G67" s="2256"/>
      <c r="H67" s="2239">
        <v>307</v>
      </c>
      <c r="I67" s="2240">
        <v>1</v>
      </c>
      <c r="J67" s="2232" t="s">
        <v>2318</v>
      </c>
      <c r="K67" s="2225" t="s">
        <v>1254</v>
      </c>
      <c r="L67" s="2241">
        <v>3</v>
      </c>
      <c r="M67" s="2218" t="s">
        <v>171</v>
      </c>
      <c r="N67" s="2242">
        <v>8</v>
      </c>
    </row>
    <row r="68" spans="1:14" s="2228" customFormat="1" ht="22" customHeight="1">
      <c r="A68" s="2217">
        <v>64</v>
      </c>
      <c r="B68" s="2258" t="s">
        <v>760</v>
      </c>
      <c r="C68" s="2218" t="s">
        <v>1289</v>
      </c>
      <c r="D68" s="2219"/>
      <c r="E68" s="2237">
        <v>41131</v>
      </c>
      <c r="F68" s="2255">
        <v>209</v>
      </c>
      <c r="G68" s="2256"/>
      <c r="H68" s="2239">
        <v>128.5</v>
      </c>
      <c r="I68" s="2240">
        <v>1</v>
      </c>
      <c r="J68" s="2232" t="s">
        <v>2318</v>
      </c>
      <c r="K68" s="2225" t="s">
        <v>1254</v>
      </c>
      <c r="L68" s="2241">
        <v>3</v>
      </c>
      <c r="M68" s="2218" t="s">
        <v>1253</v>
      </c>
      <c r="N68" s="2242">
        <v>2</v>
      </c>
    </row>
    <row r="69" spans="1:14" s="2228" customFormat="1" ht="22" customHeight="1">
      <c r="A69" s="2217">
        <v>65</v>
      </c>
      <c r="B69" s="2258" t="s">
        <v>760</v>
      </c>
      <c r="C69" s="2218" t="s">
        <v>1290</v>
      </c>
      <c r="D69" s="2219"/>
      <c r="E69" s="2237">
        <v>42047</v>
      </c>
      <c r="F69" s="2255">
        <v>47715</v>
      </c>
      <c r="G69" s="2256"/>
      <c r="H69" s="2239">
        <v>801</v>
      </c>
      <c r="I69" s="2240">
        <v>1</v>
      </c>
      <c r="J69" s="2232" t="s">
        <v>2318</v>
      </c>
      <c r="K69" s="2225" t="s">
        <v>1254</v>
      </c>
      <c r="L69" s="2241">
        <v>3</v>
      </c>
      <c r="M69" s="2218" t="s">
        <v>171</v>
      </c>
      <c r="N69" s="2242">
        <v>8</v>
      </c>
    </row>
    <row r="70" spans="1:14" s="2228" customFormat="1" ht="22" customHeight="1">
      <c r="A70" s="2217">
        <v>66</v>
      </c>
      <c r="B70" s="2258" t="s">
        <v>760</v>
      </c>
      <c r="C70" s="2218" t="s">
        <v>1291</v>
      </c>
      <c r="D70" s="2219"/>
      <c r="E70" s="2237">
        <v>41787</v>
      </c>
      <c r="F70" s="2255">
        <v>1247</v>
      </c>
      <c r="G70" s="2256"/>
      <c r="H70" s="2239">
        <v>181</v>
      </c>
      <c r="I70" s="2240">
        <v>1</v>
      </c>
      <c r="J70" s="2232" t="s">
        <v>2318</v>
      </c>
      <c r="K70" s="2225" t="s">
        <v>1254</v>
      </c>
      <c r="L70" s="2241">
        <v>3</v>
      </c>
      <c r="M70" s="2218" t="s">
        <v>171</v>
      </c>
      <c r="N70" s="2242">
        <v>8</v>
      </c>
    </row>
    <row r="71" spans="1:14" s="2228" customFormat="1" ht="22" customHeight="1">
      <c r="A71" s="2217">
        <v>67</v>
      </c>
      <c r="B71" s="2258" t="s">
        <v>760</v>
      </c>
      <c r="C71" s="2218" t="s">
        <v>1292</v>
      </c>
      <c r="D71" s="2219"/>
      <c r="E71" s="2237">
        <v>42303</v>
      </c>
      <c r="F71" s="2255">
        <v>470</v>
      </c>
      <c r="G71" s="2256"/>
      <c r="H71" s="2239">
        <v>109</v>
      </c>
      <c r="I71" s="2240">
        <v>1</v>
      </c>
      <c r="J71" s="2232" t="s">
        <v>2318</v>
      </c>
      <c r="K71" s="2225" t="s">
        <v>1254</v>
      </c>
      <c r="L71" s="2241">
        <v>3</v>
      </c>
      <c r="M71" s="2218" t="s">
        <v>171</v>
      </c>
      <c r="N71" s="2242">
        <v>8</v>
      </c>
    </row>
    <row r="72" spans="1:14" s="2228" customFormat="1" ht="22" customHeight="1">
      <c r="A72" s="2217">
        <v>68</v>
      </c>
      <c r="B72" s="2254" t="s">
        <v>446</v>
      </c>
      <c r="C72" s="2218" t="s">
        <v>1293</v>
      </c>
      <c r="D72" s="2219" t="s">
        <v>1272</v>
      </c>
      <c r="E72" s="2237">
        <v>39172</v>
      </c>
      <c r="F72" s="2255">
        <v>980</v>
      </c>
      <c r="G72" s="2256">
        <v>889</v>
      </c>
      <c r="H72" s="2239">
        <v>431</v>
      </c>
      <c r="I72" s="2240">
        <v>1</v>
      </c>
      <c r="J72" s="2232" t="s">
        <v>1265</v>
      </c>
      <c r="K72" s="2225" t="s">
        <v>1249</v>
      </c>
      <c r="L72" s="2241">
        <v>1</v>
      </c>
      <c r="M72" s="2218" t="s">
        <v>1250</v>
      </c>
      <c r="N72" s="2242">
        <v>6</v>
      </c>
    </row>
    <row r="73" spans="1:14" s="2228" customFormat="1" ht="22" customHeight="1">
      <c r="A73" s="2217">
        <v>69</v>
      </c>
      <c r="B73" s="2217" t="s">
        <v>769</v>
      </c>
      <c r="C73" s="2218" t="s">
        <v>2372</v>
      </c>
      <c r="D73" s="2219"/>
      <c r="E73" s="2237">
        <v>38463</v>
      </c>
      <c r="F73" s="2255">
        <v>647</v>
      </c>
      <c r="G73" s="2256">
        <v>0</v>
      </c>
      <c r="H73" s="2239">
        <v>651.4</v>
      </c>
      <c r="I73" s="2240">
        <v>5</v>
      </c>
      <c r="J73" s="2232" t="s">
        <v>2373</v>
      </c>
      <c r="K73" s="2225" t="s">
        <v>1254</v>
      </c>
      <c r="L73" s="2241">
        <v>3</v>
      </c>
      <c r="M73" s="2218" t="s">
        <v>171</v>
      </c>
      <c r="N73" s="2242">
        <v>8</v>
      </c>
    </row>
    <row r="74" spans="1:14" s="2228" customFormat="1" ht="22" customHeight="1">
      <c r="A74" s="2266"/>
      <c r="B74" s="2267"/>
      <c r="C74" s="2268" t="s">
        <v>34</v>
      </c>
      <c r="D74" s="2268"/>
      <c r="E74" s="2269"/>
      <c r="F74" s="2270">
        <f>+SUM(F5:F73)</f>
        <v>183717</v>
      </c>
      <c r="G74" s="2270">
        <f>+SUM(G5:G73)</f>
        <v>1883</v>
      </c>
      <c r="H74" s="2270">
        <f>+SUM(H5:H73)</f>
        <v>26468.400000000001</v>
      </c>
      <c r="I74" s="2271">
        <f>+SUM(I5:I73)</f>
        <v>99</v>
      </c>
      <c r="J74" s="2272"/>
      <c r="K74" s="2273"/>
      <c r="L74" s="2266"/>
      <c r="M74" s="2273"/>
      <c r="N74" s="2273"/>
    </row>
    <row r="75" spans="1:14" s="2193" customFormat="1" ht="13">
      <c r="A75" s="2274"/>
      <c r="B75" s="2274"/>
      <c r="C75" s="2274"/>
      <c r="D75" s="2274"/>
      <c r="E75" s="2274"/>
      <c r="F75" s="2274"/>
      <c r="G75" s="2274"/>
      <c r="H75" s="2274"/>
      <c r="I75" s="2274"/>
      <c r="J75" s="2274"/>
      <c r="K75" s="2274"/>
      <c r="L75" s="2274"/>
      <c r="M75" s="2274"/>
      <c r="N75" s="2199"/>
    </row>
  </sheetData>
  <autoFilter ref="A3:N74" xr:uid="{00000000-0009-0000-0000-000000000000}">
    <filterColumn colId="5" showButton="0"/>
    <filterColumn colId="9" showButton="0"/>
  </autoFilter>
  <mergeCells count="14">
    <mergeCell ref="O30:S30"/>
    <mergeCell ref="A75:M75"/>
    <mergeCell ref="H3:H4"/>
    <mergeCell ref="I3:I4"/>
    <mergeCell ref="J3:K3"/>
    <mergeCell ref="L3:L4"/>
    <mergeCell ref="M3:M4"/>
    <mergeCell ref="N3:N4"/>
    <mergeCell ref="A3:A4"/>
    <mergeCell ref="B3:B4"/>
    <mergeCell ref="C3:C4"/>
    <mergeCell ref="D3:D4"/>
    <mergeCell ref="E3:E4"/>
    <mergeCell ref="F3:G3"/>
  </mergeCells>
  <phoneticPr fontId="6"/>
  <dataValidations count="5">
    <dataValidation imeMode="hiragana" allowBlank="1" showErrorMessage="1" promptTitle="市町村名" prompt="略さずに入力してください。" sqref="B5:B73" xr:uid="{5253DCE3-DD0E-49C3-8203-90F0C8C8E123}"/>
    <dataValidation type="whole" imeMode="hiragana" operator="greaterThanOrEqual" allowBlank="1" showErrorMessage="1" promptTitle="整理番号" prompt="連番で整理番号を入力してください。" sqref="A5:A73" xr:uid="{67313AFD-B7CE-4ADF-B39B-46B1C91C8570}">
      <formula1>1</formula1>
    </dataValidation>
    <dataValidation imeMode="hiragana" allowBlank="1" showInputMessage="1" showErrorMessage="1" promptTitle="設置者等名" prompt="専用水道設置者名と事業所・工場等の名称を併記。_x000a_国の設置する専用水道の場合は、次の欄に1を入力してください。" sqref="D61:D62 D37:D38 C37 C63:C64" xr:uid="{137A00A2-2D26-49B3-9707-59480F04A4AE}"/>
    <dataValidation allowBlank="1" showErrorMessage="1" sqref="O29:S29 T29:IW30 D39:D60 C1:D3 A76:N65542 A1:B4 A74:M74 D63:D73 C65:C73 C38:C62 O31:IW65542 C5:D36 O1:IW28 E1:N73" xr:uid="{9FAF3826-4320-4630-8C40-32729446CFE1}"/>
    <dataValidation type="whole" imeMode="off" allowBlank="1" showInputMessage="1" showErrorMessage="1" errorTitle="浄水施設の種別" error="１～８の該当する数値を入力してください" promptTitle="次の1～8のうち該当する番号を入力" prompt="【1】緩速ろ過_x000a_【2】急速ろ過_x000a_【3】除鉄_x000a_【4】除マンガン_x000a_【5】簡易ろ過_x000a_【6】消毒のみ_x000a_【7】海水淡水化_x000a_【8】膜ろ過" sqref="N74" xr:uid="{BCE2605D-06EA-4301-8440-5C10CE717FC1}">
      <formula1>1</formula1>
      <formula2>8</formula2>
    </dataValidation>
  </dataValidations>
  <pageMargins left="0.78740157480314965" right="0.19685039370078741" top="0.59055118110236227" bottom="0.59055118110236227" header="0.51181102362204722" footer="0.51181102362204722"/>
  <pageSetup paperSize="9" scale="82" fitToHeight="0"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FFB8AF-1577-4F84-9457-8BD3C8B124D2}">
  <sheetPr>
    <pageSetUpPr fitToPage="1"/>
  </sheetPr>
  <dimension ref="A1:N48"/>
  <sheetViews>
    <sheetView view="pageBreakPreview" zoomScale="85" zoomScaleNormal="70" zoomScaleSheetLayoutView="85" workbookViewId="0">
      <selection activeCell="B1" sqref="B1"/>
    </sheetView>
  </sheetViews>
  <sheetFormatPr defaultRowHeight="13"/>
  <cols>
    <col min="1" max="1" width="8.7265625" style="2285"/>
    <col min="2" max="2" width="6.6328125" style="2285" customWidth="1"/>
    <col min="3" max="3" width="15.6328125" style="2285" customWidth="1"/>
    <col min="4" max="4" width="14.08984375" style="2285" customWidth="1"/>
    <col min="5" max="5" width="24.6328125" style="2285" customWidth="1"/>
    <col min="6" max="7" width="3.81640625" style="2285" customWidth="1"/>
    <col min="8" max="8" width="5.08984375" style="2285" customWidth="1"/>
    <col min="9" max="9" width="10.453125" style="2285" customWidth="1"/>
    <col min="10" max="12" width="10.6328125" style="2285" customWidth="1"/>
    <col min="13" max="16" width="8.7265625" style="2285"/>
    <col min="17" max="17" width="9.6328125" style="2285" bestFit="1" customWidth="1"/>
    <col min="18" max="19" width="8.7265625" style="2285"/>
    <col min="20" max="20" width="10.6328125" style="2285" bestFit="1" customWidth="1"/>
    <col min="21" max="257" width="8.7265625" style="2285"/>
    <col min="258" max="258" width="6.6328125" style="2285" customWidth="1"/>
    <col min="259" max="259" width="15.6328125" style="2285" customWidth="1"/>
    <col min="260" max="260" width="14.08984375" style="2285" customWidth="1"/>
    <col min="261" max="261" width="24.6328125" style="2285" customWidth="1"/>
    <col min="262" max="263" width="3.7265625" style="2285" customWidth="1"/>
    <col min="264" max="264" width="5" style="2285" customWidth="1"/>
    <col min="265" max="265" width="10.453125" style="2285" customWidth="1"/>
    <col min="266" max="268" width="10.6328125" style="2285" customWidth="1"/>
    <col min="269" max="272" width="8.7265625" style="2285"/>
    <col min="273" max="273" width="9.6328125" style="2285" bestFit="1" customWidth="1"/>
    <col min="274" max="275" width="8.7265625" style="2285"/>
    <col min="276" max="276" width="10.6328125" style="2285" bestFit="1" customWidth="1"/>
    <col min="277" max="513" width="8.7265625" style="2285"/>
    <col min="514" max="514" width="6.6328125" style="2285" customWidth="1"/>
    <col min="515" max="515" width="15.6328125" style="2285" customWidth="1"/>
    <col min="516" max="516" width="14.08984375" style="2285" customWidth="1"/>
    <col min="517" max="517" width="24.6328125" style="2285" customWidth="1"/>
    <col min="518" max="519" width="3.7265625" style="2285" customWidth="1"/>
    <col min="520" max="520" width="5" style="2285" customWidth="1"/>
    <col min="521" max="521" width="10.453125" style="2285" customWidth="1"/>
    <col min="522" max="524" width="10.6328125" style="2285" customWidth="1"/>
    <col min="525" max="528" width="8.7265625" style="2285"/>
    <col min="529" max="529" width="9.6328125" style="2285" bestFit="1" customWidth="1"/>
    <col min="530" max="531" width="8.7265625" style="2285"/>
    <col min="532" max="532" width="10.6328125" style="2285" bestFit="1" customWidth="1"/>
    <col min="533" max="769" width="8.7265625" style="2285"/>
    <col min="770" max="770" width="6.6328125" style="2285" customWidth="1"/>
    <col min="771" max="771" width="15.6328125" style="2285" customWidth="1"/>
    <col min="772" max="772" width="14.08984375" style="2285" customWidth="1"/>
    <col min="773" max="773" width="24.6328125" style="2285" customWidth="1"/>
    <col min="774" max="775" width="3.7265625" style="2285" customWidth="1"/>
    <col min="776" max="776" width="5" style="2285" customWidth="1"/>
    <col min="777" max="777" width="10.453125" style="2285" customWidth="1"/>
    <col min="778" max="780" width="10.6328125" style="2285" customWidth="1"/>
    <col min="781" max="784" width="8.7265625" style="2285"/>
    <col min="785" max="785" width="9.6328125" style="2285" bestFit="1" customWidth="1"/>
    <col min="786" max="787" width="8.7265625" style="2285"/>
    <col min="788" max="788" width="10.6328125" style="2285" bestFit="1" customWidth="1"/>
    <col min="789" max="1025" width="8.7265625" style="2285"/>
    <col min="1026" max="1026" width="6.6328125" style="2285" customWidth="1"/>
    <col min="1027" max="1027" width="15.6328125" style="2285" customWidth="1"/>
    <col min="1028" max="1028" width="14.08984375" style="2285" customWidth="1"/>
    <col min="1029" max="1029" width="24.6328125" style="2285" customWidth="1"/>
    <col min="1030" max="1031" width="3.7265625" style="2285" customWidth="1"/>
    <col min="1032" max="1032" width="5" style="2285" customWidth="1"/>
    <col min="1033" max="1033" width="10.453125" style="2285" customWidth="1"/>
    <col min="1034" max="1036" width="10.6328125" style="2285" customWidth="1"/>
    <col min="1037" max="1040" width="8.7265625" style="2285"/>
    <col min="1041" max="1041" width="9.6328125" style="2285" bestFit="1" customWidth="1"/>
    <col min="1042" max="1043" width="8.7265625" style="2285"/>
    <col min="1044" max="1044" width="10.6328125" style="2285" bestFit="1" customWidth="1"/>
    <col min="1045" max="1281" width="8.7265625" style="2285"/>
    <col min="1282" max="1282" width="6.6328125" style="2285" customWidth="1"/>
    <col min="1283" max="1283" width="15.6328125" style="2285" customWidth="1"/>
    <col min="1284" max="1284" width="14.08984375" style="2285" customWidth="1"/>
    <col min="1285" max="1285" width="24.6328125" style="2285" customWidth="1"/>
    <col min="1286" max="1287" width="3.7265625" style="2285" customWidth="1"/>
    <col min="1288" max="1288" width="5" style="2285" customWidth="1"/>
    <col min="1289" max="1289" width="10.453125" style="2285" customWidth="1"/>
    <col min="1290" max="1292" width="10.6328125" style="2285" customWidth="1"/>
    <col min="1293" max="1296" width="8.7265625" style="2285"/>
    <col min="1297" max="1297" width="9.6328125" style="2285" bestFit="1" customWidth="1"/>
    <col min="1298" max="1299" width="8.7265625" style="2285"/>
    <col min="1300" max="1300" width="10.6328125" style="2285" bestFit="1" customWidth="1"/>
    <col min="1301" max="1537" width="8.7265625" style="2285"/>
    <col min="1538" max="1538" width="6.6328125" style="2285" customWidth="1"/>
    <col min="1539" max="1539" width="15.6328125" style="2285" customWidth="1"/>
    <col min="1540" max="1540" width="14.08984375" style="2285" customWidth="1"/>
    <col min="1541" max="1541" width="24.6328125" style="2285" customWidth="1"/>
    <col min="1542" max="1543" width="3.7265625" style="2285" customWidth="1"/>
    <col min="1544" max="1544" width="5" style="2285" customWidth="1"/>
    <col min="1545" max="1545" width="10.453125" style="2285" customWidth="1"/>
    <col min="1546" max="1548" width="10.6328125" style="2285" customWidth="1"/>
    <col min="1549" max="1552" width="8.7265625" style="2285"/>
    <col min="1553" max="1553" width="9.6328125" style="2285" bestFit="1" customWidth="1"/>
    <col min="1554" max="1555" width="8.7265625" style="2285"/>
    <col min="1556" max="1556" width="10.6328125" style="2285" bestFit="1" customWidth="1"/>
    <col min="1557" max="1793" width="8.7265625" style="2285"/>
    <col min="1794" max="1794" width="6.6328125" style="2285" customWidth="1"/>
    <col min="1795" max="1795" width="15.6328125" style="2285" customWidth="1"/>
    <col min="1796" max="1796" width="14.08984375" style="2285" customWidth="1"/>
    <col min="1797" max="1797" width="24.6328125" style="2285" customWidth="1"/>
    <col min="1798" max="1799" width="3.7265625" style="2285" customWidth="1"/>
    <col min="1800" max="1800" width="5" style="2285" customWidth="1"/>
    <col min="1801" max="1801" width="10.453125" style="2285" customWidth="1"/>
    <col min="1802" max="1804" width="10.6328125" style="2285" customWidth="1"/>
    <col min="1805" max="1808" width="8.7265625" style="2285"/>
    <col min="1809" max="1809" width="9.6328125" style="2285" bestFit="1" customWidth="1"/>
    <col min="1810" max="1811" width="8.7265625" style="2285"/>
    <col min="1812" max="1812" width="10.6328125" style="2285" bestFit="1" customWidth="1"/>
    <col min="1813" max="2049" width="8.7265625" style="2285"/>
    <col min="2050" max="2050" width="6.6328125" style="2285" customWidth="1"/>
    <col min="2051" max="2051" width="15.6328125" style="2285" customWidth="1"/>
    <col min="2052" max="2052" width="14.08984375" style="2285" customWidth="1"/>
    <col min="2053" max="2053" width="24.6328125" style="2285" customWidth="1"/>
    <col min="2054" max="2055" width="3.7265625" style="2285" customWidth="1"/>
    <col min="2056" max="2056" width="5" style="2285" customWidth="1"/>
    <col min="2057" max="2057" width="10.453125" style="2285" customWidth="1"/>
    <col min="2058" max="2060" width="10.6328125" style="2285" customWidth="1"/>
    <col min="2061" max="2064" width="8.7265625" style="2285"/>
    <col min="2065" max="2065" width="9.6328125" style="2285" bestFit="1" customWidth="1"/>
    <col min="2066" max="2067" width="8.7265625" style="2285"/>
    <col min="2068" max="2068" width="10.6328125" style="2285" bestFit="1" customWidth="1"/>
    <col min="2069" max="2305" width="8.7265625" style="2285"/>
    <col min="2306" max="2306" width="6.6328125" style="2285" customWidth="1"/>
    <col min="2307" max="2307" width="15.6328125" style="2285" customWidth="1"/>
    <col min="2308" max="2308" width="14.08984375" style="2285" customWidth="1"/>
    <col min="2309" max="2309" width="24.6328125" style="2285" customWidth="1"/>
    <col min="2310" max="2311" width="3.7265625" style="2285" customWidth="1"/>
    <col min="2312" max="2312" width="5" style="2285" customWidth="1"/>
    <col min="2313" max="2313" width="10.453125" style="2285" customWidth="1"/>
    <col min="2314" max="2316" width="10.6328125" style="2285" customWidth="1"/>
    <col min="2317" max="2320" width="8.7265625" style="2285"/>
    <col min="2321" max="2321" width="9.6328125" style="2285" bestFit="1" customWidth="1"/>
    <col min="2322" max="2323" width="8.7265625" style="2285"/>
    <col min="2324" max="2324" width="10.6328125" style="2285" bestFit="1" customWidth="1"/>
    <col min="2325" max="2561" width="8.7265625" style="2285"/>
    <col min="2562" max="2562" width="6.6328125" style="2285" customWidth="1"/>
    <col min="2563" max="2563" width="15.6328125" style="2285" customWidth="1"/>
    <col min="2564" max="2564" width="14.08984375" style="2285" customWidth="1"/>
    <col min="2565" max="2565" width="24.6328125" style="2285" customWidth="1"/>
    <col min="2566" max="2567" width="3.7265625" style="2285" customWidth="1"/>
    <col min="2568" max="2568" width="5" style="2285" customWidth="1"/>
    <col min="2569" max="2569" width="10.453125" style="2285" customWidth="1"/>
    <col min="2570" max="2572" width="10.6328125" style="2285" customWidth="1"/>
    <col min="2573" max="2576" width="8.7265625" style="2285"/>
    <col min="2577" max="2577" width="9.6328125" style="2285" bestFit="1" customWidth="1"/>
    <col min="2578" max="2579" width="8.7265625" style="2285"/>
    <col min="2580" max="2580" width="10.6328125" style="2285" bestFit="1" customWidth="1"/>
    <col min="2581" max="2817" width="8.7265625" style="2285"/>
    <col min="2818" max="2818" width="6.6328125" style="2285" customWidth="1"/>
    <col min="2819" max="2819" width="15.6328125" style="2285" customWidth="1"/>
    <col min="2820" max="2820" width="14.08984375" style="2285" customWidth="1"/>
    <col min="2821" max="2821" width="24.6328125" style="2285" customWidth="1"/>
    <col min="2822" max="2823" width="3.7265625" style="2285" customWidth="1"/>
    <col min="2824" max="2824" width="5" style="2285" customWidth="1"/>
    <col min="2825" max="2825" width="10.453125" style="2285" customWidth="1"/>
    <col min="2826" max="2828" width="10.6328125" style="2285" customWidth="1"/>
    <col min="2829" max="2832" width="8.7265625" style="2285"/>
    <col min="2833" max="2833" width="9.6328125" style="2285" bestFit="1" customWidth="1"/>
    <col min="2834" max="2835" width="8.7265625" style="2285"/>
    <col min="2836" max="2836" width="10.6328125" style="2285" bestFit="1" customWidth="1"/>
    <col min="2837" max="3073" width="8.7265625" style="2285"/>
    <col min="3074" max="3074" width="6.6328125" style="2285" customWidth="1"/>
    <col min="3075" max="3075" width="15.6328125" style="2285" customWidth="1"/>
    <col min="3076" max="3076" width="14.08984375" style="2285" customWidth="1"/>
    <col min="3077" max="3077" width="24.6328125" style="2285" customWidth="1"/>
    <col min="3078" max="3079" width="3.7265625" style="2285" customWidth="1"/>
    <col min="3080" max="3080" width="5" style="2285" customWidth="1"/>
    <col min="3081" max="3081" width="10.453125" style="2285" customWidth="1"/>
    <col min="3082" max="3084" width="10.6328125" style="2285" customWidth="1"/>
    <col min="3085" max="3088" width="8.7265625" style="2285"/>
    <col min="3089" max="3089" width="9.6328125" style="2285" bestFit="1" customWidth="1"/>
    <col min="3090" max="3091" width="8.7265625" style="2285"/>
    <col min="3092" max="3092" width="10.6328125" style="2285" bestFit="1" customWidth="1"/>
    <col min="3093" max="3329" width="8.7265625" style="2285"/>
    <col min="3330" max="3330" width="6.6328125" style="2285" customWidth="1"/>
    <col min="3331" max="3331" width="15.6328125" style="2285" customWidth="1"/>
    <col min="3332" max="3332" width="14.08984375" style="2285" customWidth="1"/>
    <col min="3333" max="3333" width="24.6328125" style="2285" customWidth="1"/>
    <col min="3334" max="3335" width="3.7265625" style="2285" customWidth="1"/>
    <col min="3336" max="3336" width="5" style="2285" customWidth="1"/>
    <col min="3337" max="3337" width="10.453125" style="2285" customWidth="1"/>
    <col min="3338" max="3340" width="10.6328125" style="2285" customWidth="1"/>
    <col min="3341" max="3344" width="8.7265625" style="2285"/>
    <col min="3345" max="3345" width="9.6328125" style="2285" bestFit="1" customWidth="1"/>
    <col min="3346" max="3347" width="8.7265625" style="2285"/>
    <col min="3348" max="3348" width="10.6328125" style="2285" bestFit="1" customWidth="1"/>
    <col min="3349" max="3585" width="8.7265625" style="2285"/>
    <col min="3586" max="3586" width="6.6328125" style="2285" customWidth="1"/>
    <col min="3587" max="3587" width="15.6328125" style="2285" customWidth="1"/>
    <col min="3588" max="3588" width="14.08984375" style="2285" customWidth="1"/>
    <col min="3589" max="3589" width="24.6328125" style="2285" customWidth="1"/>
    <col min="3590" max="3591" width="3.7265625" style="2285" customWidth="1"/>
    <col min="3592" max="3592" width="5" style="2285" customWidth="1"/>
    <col min="3593" max="3593" width="10.453125" style="2285" customWidth="1"/>
    <col min="3594" max="3596" width="10.6328125" style="2285" customWidth="1"/>
    <col min="3597" max="3600" width="8.7265625" style="2285"/>
    <col min="3601" max="3601" width="9.6328125" style="2285" bestFit="1" customWidth="1"/>
    <col min="3602" max="3603" width="8.7265625" style="2285"/>
    <col min="3604" max="3604" width="10.6328125" style="2285" bestFit="1" customWidth="1"/>
    <col min="3605" max="3841" width="8.7265625" style="2285"/>
    <col min="3842" max="3842" width="6.6328125" style="2285" customWidth="1"/>
    <col min="3843" max="3843" width="15.6328125" style="2285" customWidth="1"/>
    <col min="3844" max="3844" width="14.08984375" style="2285" customWidth="1"/>
    <col min="3845" max="3845" width="24.6328125" style="2285" customWidth="1"/>
    <col min="3846" max="3847" width="3.7265625" style="2285" customWidth="1"/>
    <col min="3848" max="3848" width="5" style="2285" customWidth="1"/>
    <col min="3849" max="3849" width="10.453125" style="2285" customWidth="1"/>
    <col min="3850" max="3852" width="10.6328125" style="2285" customWidth="1"/>
    <col min="3853" max="3856" width="8.7265625" style="2285"/>
    <col min="3857" max="3857" width="9.6328125" style="2285" bestFit="1" customWidth="1"/>
    <col min="3858" max="3859" width="8.7265625" style="2285"/>
    <col min="3860" max="3860" width="10.6328125" style="2285" bestFit="1" customWidth="1"/>
    <col min="3861" max="4097" width="8.7265625" style="2285"/>
    <col min="4098" max="4098" width="6.6328125" style="2285" customWidth="1"/>
    <col min="4099" max="4099" width="15.6328125" style="2285" customWidth="1"/>
    <col min="4100" max="4100" width="14.08984375" style="2285" customWidth="1"/>
    <col min="4101" max="4101" width="24.6328125" style="2285" customWidth="1"/>
    <col min="4102" max="4103" width="3.7265625" style="2285" customWidth="1"/>
    <col min="4104" max="4104" width="5" style="2285" customWidth="1"/>
    <col min="4105" max="4105" width="10.453125" style="2285" customWidth="1"/>
    <col min="4106" max="4108" width="10.6328125" style="2285" customWidth="1"/>
    <col min="4109" max="4112" width="8.7265625" style="2285"/>
    <col min="4113" max="4113" width="9.6328125" style="2285" bestFit="1" customWidth="1"/>
    <col min="4114" max="4115" width="8.7265625" style="2285"/>
    <col min="4116" max="4116" width="10.6328125" style="2285" bestFit="1" customWidth="1"/>
    <col min="4117" max="4353" width="8.7265625" style="2285"/>
    <col min="4354" max="4354" width="6.6328125" style="2285" customWidth="1"/>
    <col min="4355" max="4355" width="15.6328125" style="2285" customWidth="1"/>
    <col min="4356" max="4356" width="14.08984375" style="2285" customWidth="1"/>
    <col min="4357" max="4357" width="24.6328125" style="2285" customWidth="1"/>
    <col min="4358" max="4359" width="3.7265625" style="2285" customWidth="1"/>
    <col min="4360" max="4360" width="5" style="2285" customWidth="1"/>
    <col min="4361" max="4361" width="10.453125" style="2285" customWidth="1"/>
    <col min="4362" max="4364" width="10.6328125" style="2285" customWidth="1"/>
    <col min="4365" max="4368" width="8.7265625" style="2285"/>
    <col min="4369" max="4369" width="9.6328125" style="2285" bestFit="1" customWidth="1"/>
    <col min="4370" max="4371" width="8.7265625" style="2285"/>
    <col min="4372" max="4372" width="10.6328125" style="2285" bestFit="1" customWidth="1"/>
    <col min="4373" max="4609" width="8.7265625" style="2285"/>
    <col min="4610" max="4610" width="6.6328125" style="2285" customWidth="1"/>
    <col min="4611" max="4611" width="15.6328125" style="2285" customWidth="1"/>
    <col min="4612" max="4612" width="14.08984375" style="2285" customWidth="1"/>
    <col min="4613" max="4613" width="24.6328125" style="2285" customWidth="1"/>
    <col min="4614" max="4615" width="3.7265625" style="2285" customWidth="1"/>
    <col min="4616" max="4616" width="5" style="2285" customWidth="1"/>
    <col min="4617" max="4617" width="10.453125" style="2285" customWidth="1"/>
    <col min="4618" max="4620" width="10.6328125" style="2285" customWidth="1"/>
    <col min="4621" max="4624" width="8.7265625" style="2285"/>
    <col min="4625" max="4625" width="9.6328125" style="2285" bestFit="1" customWidth="1"/>
    <col min="4626" max="4627" width="8.7265625" style="2285"/>
    <col min="4628" max="4628" width="10.6328125" style="2285" bestFit="1" customWidth="1"/>
    <col min="4629" max="4865" width="8.7265625" style="2285"/>
    <col min="4866" max="4866" width="6.6328125" style="2285" customWidth="1"/>
    <col min="4867" max="4867" width="15.6328125" style="2285" customWidth="1"/>
    <col min="4868" max="4868" width="14.08984375" style="2285" customWidth="1"/>
    <col min="4869" max="4869" width="24.6328125" style="2285" customWidth="1"/>
    <col min="4870" max="4871" width="3.7265625" style="2285" customWidth="1"/>
    <col min="4872" max="4872" width="5" style="2285" customWidth="1"/>
    <col min="4873" max="4873" width="10.453125" style="2285" customWidth="1"/>
    <col min="4874" max="4876" width="10.6328125" style="2285" customWidth="1"/>
    <col min="4877" max="4880" width="8.7265625" style="2285"/>
    <col min="4881" max="4881" width="9.6328125" style="2285" bestFit="1" customWidth="1"/>
    <col min="4882" max="4883" width="8.7265625" style="2285"/>
    <col min="4884" max="4884" width="10.6328125" style="2285" bestFit="1" customWidth="1"/>
    <col min="4885" max="5121" width="8.7265625" style="2285"/>
    <col min="5122" max="5122" width="6.6328125" style="2285" customWidth="1"/>
    <col min="5123" max="5123" width="15.6328125" style="2285" customWidth="1"/>
    <col min="5124" max="5124" width="14.08984375" style="2285" customWidth="1"/>
    <col min="5125" max="5125" width="24.6328125" style="2285" customWidth="1"/>
    <col min="5126" max="5127" width="3.7265625" style="2285" customWidth="1"/>
    <col min="5128" max="5128" width="5" style="2285" customWidth="1"/>
    <col min="5129" max="5129" width="10.453125" style="2285" customWidth="1"/>
    <col min="5130" max="5132" width="10.6328125" style="2285" customWidth="1"/>
    <col min="5133" max="5136" width="8.7265625" style="2285"/>
    <col min="5137" max="5137" width="9.6328125" style="2285" bestFit="1" customWidth="1"/>
    <col min="5138" max="5139" width="8.7265625" style="2285"/>
    <col min="5140" max="5140" width="10.6328125" style="2285" bestFit="1" customWidth="1"/>
    <col min="5141" max="5377" width="8.7265625" style="2285"/>
    <col min="5378" max="5378" width="6.6328125" style="2285" customWidth="1"/>
    <col min="5379" max="5379" width="15.6328125" style="2285" customWidth="1"/>
    <col min="5380" max="5380" width="14.08984375" style="2285" customWidth="1"/>
    <col min="5381" max="5381" width="24.6328125" style="2285" customWidth="1"/>
    <col min="5382" max="5383" width="3.7265625" style="2285" customWidth="1"/>
    <col min="5384" max="5384" width="5" style="2285" customWidth="1"/>
    <col min="5385" max="5385" width="10.453125" style="2285" customWidth="1"/>
    <col min="5386" max="5388" width="10.6328125" style="2285" customWidth="1"/>
    <col min="5389" max="5392" width="8.7265625" style="2285"/>
    <col min="5393" max="5393" width="9.6328125" style="2285" bestFit="1" customWidth="1"/>
    <col min="5394" max="5395" width="8.7265625" style="2285"/>
    <col min="5396" max="5396" width="10.6328125" style="2285" bestFit="1" customWidth="1"/>
    <col min="5397" max="5633" width="8.7265625" style="2285"/>
    <col min="5634" max="5634" width="6.6328125" style="2285" customWidth="1"/>
    <col min="5635" max="5635" width="15.6328125" style="2285" customWidth="1"/>
    <col min="5636" max="5636" width="14.08984375" style="2285" customWidth="1"/>
    <col min="5637" max="5637" width="24.6328125" style="2285" customWidth="1"/>
    <col min="5638" max="5639" width="3.7265625" style="2285" customWidth="1"/>
    <col min="5640" max="5640" width="5" style="2285" customWidth="1"/>
    <col min="5641" max="5641" width="10.453125" style="2285" customWidth="1"/>
    <col min="5642" max="5644" width="10.6328125" style="2285" customWidth="1"/>
    <col min="5645" max="5648" width="8.7265625" style="2285"/>
    <col min="5649" max="5649" width="9.6328125" style="2285" bestFit="1" customWidth="1"/>
    <col min="5650" max="5651" width="8.7265625" style="2285"/>
    <col min="5652" max="5652" width="10.6328125" style="2285" bestFit="1" customWidth="1"/>
    <col min="5653" max="5889" width="8.7265625" style="2285"/>
    <col min="5890" max="5890" width="6.6328125" style="2285" customWidth="1"/>
    <col min="5891" max="5891" width="15.6328125" style="2285" customWidth="1"/>
    <col min="5892" max="5892" width="14.08984375" style="2285" customWidth="1"/>
    <col min="5893" max="5893" width="24.6328125" style="2285" customWidth="1"/>
    <col min="5894" max="5895" width="3.7265625" style="2285" customWidth="1"/>
    <col min="5896" max="5896" width="5" style="2285" customWidth="1"/>
    <col min="5897" max="5897" width="10.453125" style="2285" customWidth="1"/>
    <col min="5898" max="5900" width="10.6328125" style="2285" customWidth="1"/>
    <col min="5901" max="5904" width="8.7265625" style="2285"/>
    <col min="5905" max="5905" width="9.6328125" style="2285" bestFit="1" customWidth="1"/>
    <col min="5906" max="5907" width="8.7265625" style="2285"/>
    <col min="5908" max="5908" width="10.6328125" style="2285" bestFit="1" customWidth="1"/>
    <col min="5909" max="6145" width="8.7265625" style="2285"/>
    <col min="6146" max="6146" width="6.6328125" style="2285" customWidth="1"/>
    <col min="6147" max="6147" width="15.6328125" style="2285" customWidth="1"/>
    <col min="6148" max="6148" width="14.08984375" style="2285" customWidth="1"/>
    <col min="6149" max="6149" width="24.6328125" style="2285" customWidth="1"/>
    <col min="6150" max="6151" width="3.7265625" style="2285" customWidth="1"/>
    <col min="6152" max="6152" width="5" style="2285" customWidth="1"/>
    <col min="6153" max="6153" width="10.453125" style="2285" customWidth="1"/>
    <col min="6154" max="6156" width="10.6328125" style="2285" customWidth="1"/>
    <col min="6157" max="6160" width="8.7265625" style="2285"/>
    <col min="6161" max="6161" width="9.6328125" style="2285" bestFit="1" customWidth="1"/>
    <col min="6162" max="6163" width="8.7265625" style="2285"/>
    <col min="6164" max="6164" width="10.6328125" style="2285" bestFit="1" customWidth="1"/>
    <col min="6165" max="6401" width="8.7265625" style="2285"/>
    <col min="6402" max="6402" width="6.6328125" style="2285" customWidth="1"/>
    <col min="6403" max="6403" width="15.6328125" style="2285" customWidth="1"/>
    <col min="6404" max="6404" width="14.08984375" style="2285" customWidth="1"/>
    <col min="6405" max="6405" width="24.6328125" style="2285" customWidth="1"/>
    <col min="6406" max="6407" width="3.7265625" style="2285" customWidth="1"/>
    <col min="6408" max="6408" width="5" style="2285" customWidth="1"/>
    <col min="6409" max="6409" width="10.453125" style="2285" customWidth="1"/>
    <col min="6410" max="6412" width="10.6328125" style="2285" customWidth="1"/>
    <col min="6413" max="6416" width="8.7265625" style="2285"/>
    <col min="6417" max="6417" width="9.6328125" style="2285" bestFit="1" customWidth="1"/>
    <col min="6418" max="6419" width="8.7265625" style="2285"/>
    <col min="6420" max="6420" width="10.6328125" style="2285" bestFit="1" customWidth="1"/>
    <col min="6421" max="6657" width="8.7265625" style="2285"/>
    <col min="6658" max="6658" width="6.6328125" style="2285" customWidth="1"/>
    <col min="6659" max="6659" width="15.6328125" style="2285" customWidth="1"/>
    <col min="6660" max="6660" width="14.08984375" style="2285" customWidth="1"/>
    <col min="6661" max="6661" width="24.6328125" style="2285" customWidth="1"/>
    <col min="6662" max="6663" width="3.7265625" style="2285" customWidth="1"/>
    <col min="6664" max="6664" width="5" style="2285" customWidth="1"/>
    <col min="6665" max="6665" width="10.453125" style="2285" customWidth="1"/>
    <col min="6666" max="6668" width="10.6328125" style="2285" customWidth="1"/>
    <col min="6669" max="6672" width="8.7265625" style="2285"/>
    <col min="6673" max="6673" width="9.6328125" style="2285" bestFit="1" customWidth="1"/>
    <col min="6674" max="6675" width="8.7265625" style="2285"/>
    <col min="6676" max="6676" width="10.6328125" style="2285" bestFit="1" customWidth="1"/>
    <col min="6677" max="6913" width="8.7265625" style="2285"/>
    <col min="6914" max="6914" width="6.6328125" style="2285" customWidth="1"/>
    <col min="6915" max="6915" width="15.6328125" style="2285" customWidth="1"/>
    <col min="6916" max="6916" width="14.08984375" style="2285" customWidth="1"/>
    <col min="6917" max="6917" width="24.6328125" style="2285" customWidth="1"/>
    <col min="6918" max="6919" width="3.7265625" style="2285" customWidth="1"/>
    <col min="6920" max="6920" width="5" style="2285" customWidth="1"/>
    <col min="6921" max="6921" width="10.453125" style="2285" customWidth="1"/>
    <col min="6922" max="6924" width="10.6328125" style="2285" customWidth="1"/>
    <col min="6925" max="6928" width="8.7265625" style="2285"/>
    <col min="6929" max="6929" width="9.6328125" style="2285" bestFit="1" customWidth="1"/>
    <col min="6930" max="6931" width="8.7265625" style="2285"/>
    <col min="6932" max="6932" width="10.6328125" style="2285" bestFit="1" customWidth="1"/>
    <col min="6933" max="7169" width="8.7265625" style="2285"/>
    <col min="7170" max="7170" width="6.6328125" style="2285" customWidth="1"/>
    <col min="7171" max="7171" width="15.6328125" style="2285" customWidth="1"/>
    <col min="7172" max="7172" width="14.08984375" style="2285" customWidth="1"/>
    <col min="7173" max="7173" width="24.6328125" style="2285" customWidth="1"/>
    <col min="7174" max="7175" width="3.7265625" style="2285" customWidth="1"/>
    <col min="7176" max="7176" width="5" style="2285" customWidth="1"/>
    <col min="7177" max="7177" width="10.453125" style="2285" customWidth="1"/>
    <col min="7178" max="7180" width="10.6328125" style="2285" customWidth="1"/>
    <col min="7181" max="7184" width="8.7265625" style="2285"/>
    <col min="7185" max="7185" width="9.6328125" style="2285" bestFit="1" customWidth="1"/>
    <col min="7186" max="7187" width="8.7265625" style="2285"/>
    <col min="7188" max="7188" width="10.6328125" style="2285" bestFit="1" customWidth="1"/>
    <col min="7189" max="7425" width="8.7265625" style="2285"/>
    <col min="7426" max="7426" width="6.6328125" style="2285" customWidth="1"/>
    <col min="7427" max="7427" width="15.6328125" style="2285" customWidth="1"/>
    <col min="7428" max="7428" width="14.08984375" style="2285" customWidth="1"/>
    <col min="7429" max="7429" width="24.6328125" style="2285" customWidth="1"/>
    <col min="7430" max="7431" width="3.7265625" style="2285" customWidth="1"/>
    <col min="7432" max="7432" width="5" style="2285" customWidth="1"/>
    <col min="7433" max="7433" width="10.453125" style="2285" customWidth="1"/>
    <col min="7434" max="7436" width="10.6328125" style="2285" customWidth="1"/>
    <col min="7437" max="7440" width="8.7265625" style="2285"/>
    <col min="7441" max="7441" width="9.6328125" style="2285" bestFit="1" customWidth="1"/>
    <col min="7442" max="7443" width="8.7265625" style="2285"/>
    <col min="7444" max="7444" width="10.6328125" style="2285" bestFit="1" customWidth="1"/>
    <col min="7445" max="7681" width="8.7265625" style="2285"/>
    <col min="7682" max="7682" width="6.6328125" style="2285" customWidth="1"/>
    <col min="7683" max="7683" width="15.6328125" style="2285" customWidth="1"/>
    <col min="7684" max="7684" width="14.08984375" style="2285" customWidth="1"/>
    <col min="7685" max="7685" width="24.6328125" style="2285" customWidth="1"/>
    <col min="7686" max="7687" width="3.7265625" style="2285" customWidth="1"/>
    <col min="7688" max="7688" width="5" style="2285" customWidth="1"/>
    <col min="7689" max="7689" width="10.453125" style="2285" customWidth="1"/>
    <col min="7690" max="7692" width="10.6328125" style="2285" customWidth="1"/>
    <col min="7693" max="7696" width="8.7265625" style="2285"/>
    <col min="7697" max="7697" width="9.6328125" style="2285" bestFit="1" customWidth="1"/>
    <col min="7698" max="7699" width="8.7265625" style="2285"/>
    <col min="7700" max="7700" width="10.6328125" style="2285" bestFit="1" customWidth="1"/>
    <col min="7701" max="7937" width="8.7265625" style="2285"/>
    <col min="7938" max="7938" width="6.6328125" style="2285" customWidth="1"/>
    <col min="7939" max="7939" width="15.6328125" style="2285" customWidth="1"/>
    <col min="7940" max="7940" width="14.08984375" style="2285" customWidth="1"/>
    <col min="7941" max="7941" width="24.6328125" style="2285" customWidth="1"/>
    <col min="7942" max="7943" width="3.7265625" style="2285" customWidth="1"/>
    <col min="7944" max="7944" width="5" style="2285" customWidth="1"/>
    <col min="7945" max="7945" width="10.453125" style="2285" customWidth="1"/>
    <col min="7946" max="7948" width="10.6328125" style="2285" customWidth="1"/>
    <col min="7949" max="7952" width="8.7265625" style="2285"/>
    <col min="7953" max="7953" width="9.6328125" style="2285" bestFit="1" customWidth="1"/>
    <col min="7954" max="7955" width="8.7265625" style="2285"/>
    <col min="7956" max="7956" width="10.6328125" style="2285" bestFit="1" customWidth="1"/>
    <col min="7957" max="8193" width="8.7265625" style="2285"/>
    <col min="8194" max="8194" width="6.6328125" style="2285" customWidth="1"/>
    <col min="8195" max="8195" width="15.6328125" style="2285" customWidth="1"/>
    <col min="8196" max="8196" width="14.08984375" style="2285" customWidth="1"/>
    <col min="8197" max="8197" width="24.6328125" style="2285" customWidth="1"/>
    <col min="8198" max="8199" width="3.7265625" style="2285" customWidth="1"/>
    <col min="8200" max="8200" width="5" style="2285" customWidth="1"/>
    <col min="8201" max="8201" width="10.453125" style="2285" customWidth="1"/>
    <col min="8202" max="8204" width="10.6328125" style="2285" customWidth="1"/>
    <col min="8205" max="8208" width="8.7265625" style="2285"/>
    <col min="8209" max="8209" width="9.6328125" style="2285" bestFit="1" customWidth="1"/>
    <col min="8210" max="8211" width="8.7265625" style="2285"/>
    <col min="8212" max="8212" width="10.6328125" style="2285" bestFit="1" customWidth="1"/>
    <col min="8213" max="8449" width="8.7265625" style="2285"/>
    <col min="8450" max="8450" width="6.6328125" style="2285" customWidth="1"/>
    <col min="8451" max="8451" width="15.6328125" style="2285" customWidth="1"/>
    <col min="8452" max="8452" width="14.08984375" style="2285" customWidth="1"/>
    <col min="8453" max="8453" width="24.6328125" style="2285" customWidth="1"/>
    <col min="8454" max="8455" width="3.7265625" style="2285" customWidth="1"/>
    <col min="8456" max="8456" width="5" style="2285" customWidth="1"/>
    <col min="8457" max="8457" width="10.453125" style="2285" customWidth="1"/>
    <col min="8458" max="8460" width="10.6328125" style="2285" customWidth="1"/>
    <col min="8461" max="8464" width="8.7265625" style="2285"/>
    <col min="8465" max="8465" width="9.6328125" style="2285" bestFit="1" customWidth="1"/>
    <col min="8466" max="8467" width="8.7265625" style="2285"/>
    <col min="8468" max="8468" width="10.6328125" style="2285" bestFit="1" customWidth="1"/>
    <col min="8469" max="8705" width="8.7265625" style="2285"/>
    <col min="8706" max="8706" width="6.6328125" style="2285" customWidth="1"/>
    <col min="8707" max="8707" width="15.6328125" style="2285" customWidth="1"/>
    <col min="8708" max="8708" width="14.08984375" style="2285" customWidth="1"/>
    <col min="8709" max="8709" width="24.6328125" style="2285" customWidth="1"/>
    <col min="8710" max="8711" width="3.7265625" style="2285" customWidth="1"/>
    <col min="8712" max="8712" width="5" style="2285" customWidth="1"/>
    <col min="8713" max="8713" width="10.453125" style="2285" customWidth="1"/>
    <col min="8714" max="8716" width="10.6328125" style="2285" customWidth="1"/>
    <col min="8717" max="8720" width="8.7265625" style="2285"/>
    <col min="8721" max="8721" width="9.6328125" style="2285" bestFit="1" customWidth="1"/>
    <col min="8722" max="8723" width="8.7265625" style="2285"/>
    <col min="8724" max="8724" width="10.6328125" style="2285" bestFit="1" customWidth="1"/>
    <col min="8725" max="8961" width="8.7265625" style="2285"/>
    <col min="8962" max="8962" width="6.6328125" style="2285" customWidth="1"/>
    <col min="8963" max="8963" width="15.6328125" style="2285" customWidth="1"/>
    <col min="8964" max="8964" width="14.08984375" style="2285" customWidth="1"/>
    <col min="8965" max="8965" width="24.6328125" style="2285" customWidth="1"/>
    <col min="8966" max="8967" width="3.7265625" style="2285" customWidth="1"/>
    <col min="8968" max="8968" width="5" style="2285" customWidth="1"/>
    <col min="8969" max="8969" width="10.453125" style="2285" customWidth="1"/>
    <col min="8970" max="8972" width="10.6328125" style="2285" customWidth="1"/>
    <col min="8973" max="8976" width="8.7265625" style="2285"/>
    <col min="8977" max="8977" width="9.6328125" style="2285" bestFit="1" customWidth="1"/>
    <col min="8978" max="8979" width="8.7265625" style="2285"/>
    <col min="8980" max="8980" width="10.6328125" style="2285" bestFit="1" customWidth="1"/>
    <col min="8981" max="9217" width="8.7265625" style="2285"/>
    <col min="9218" max="9218" width="6.6328125" style="2285" customWidth="1"/>
    <col min="9219" max="9219" width="15.6328125" style="2285" customWidth="1"/>
    <col min="9220" max="9220" width="14.08984375" style="2285" customWidth="1"/>
    <col min="9221" max="9221" width="24.6328125" style="2285" customWidth="1"/>
    <col min="9222" max="9223" width="3.7265625" style="2285" customWidth="1"/>
    <col min="9224" max="9224" width="5" style="2285" customWidth="1"/>
    <col min="9225" max="9225" width="10.453125" style="2285" customWidth="1"/>
    <col min="9226" max="9228" width="10.6328125" style="2285" customWidth="1"/>
    <col min="9229" max="9232" width="8.7265625" style="2285"/>
    <col min="9233" max="9233" width="9.6328125" style="2285" bestFit="1" customWidth="1"/>
    <col min="9234" max="9235" width="8.7265625" style="2285"/>
    <col min="9236" max="9236" width="10.6328125" style="2285" bestFit="1" customWidth="1"/>
    <col min="9237" max="9473" width="8.7265625" style="2285"/>
    <col min="9474" max="9474" width="6.6328125" style="2285" customWidth="1"/>
    <col min="9475" max="9475" width="15.6328125" style="2285" customWidth="1"/>
    <col min="9476" max="9476" width="14.08984375" style="2285" customWidth="1"/>
    <col min="9477" max="9477" width="24.6328125" style="2285" customWidth="1"/>
    <col min="9478" max="9479" width="3.7265625" style="2285" customWidth="1"/>
    <col min="9480" max="9480" width="5" style="2285" customWidth="1"/>
    <col min="9481" max="9481" width="10.453125" style="2285" customWidth="1"/>
    <col min="9482" max="9484" width="10.6328125" style="2285" customWidth="1"/>
    <col min="9485" max="9488" width="8.7265625" style="2285"/>
    <col min="9489" max="9489" width="9.6328125" style="2285" bestFit="1" customWidth="1"/>
    <col min="9490" max="9491" width="8.7265625" style="2285"/>
    <col min="9492" max="9492" width="10.6328125" style="2285" bestFit="1" customWidth="1"/>
    <col min="9493" max="9729" width="8.7265625" style="2285"/>
    <col min="9730" max="9730" width="6.6328125" style="2285" customWidth="1"/>
    <col min="9731" max="9731" width="15.6328125" style="2285" customWidth="1"/>
    <col min="9732" max="9732" width="14.08984375" style="2285" customWidth="1"/>
    <col min="9733" max="9733" width="24.6328125" style="2285" customWidth="1"/>
    <col min="9734" max="9735" width="3.7265625" style="2285" customWidth="1"/>
    <col min="9736" max="9736" width="5" style="2285" customWidth="1"/>
    <col min="9737" max="9737" width="10.453125" style="2285" customWidth="1"/>
    <col min="9738" max="9740" width="10.6328125" style="2285" customWidth="1"/>
    <col min="9741" max="9744" width="8.7265625" style="2285"/>
    <col min="9745" max="9745" width="9.6328125" style="2285" bestFit="1" customWidth="1"/>
    <col min="9746" max="9747" width="8.7265625" style="2285"/>
    <col min="9748" max="9748" width="10.6328125" style="2285" bestFit="1" customWidth="1"/>
    <col min="9749" max="9985" width="8.7265625" style="2285"/>
    <col min="9986" max="9986" width="6.6328125" style="2285" customWidth="1"/>
    <col min="9987" max="9987" width="15.6328125" style="2285" customWidth="1"/>
    <col min="9988" max="9988" width="14.08984375" style="2285" customWidth="1"/>
    <col min="9989" max="9989" width="24.6328125" style="2285" customWidth="1"/>
    <col min="9990" max="9991" width="3.7265625" style="2285" customWidth="1"/>
    <col min="9992" max="9992" width="5" style="2285" customWidth="1"/>
    <col min="9993" max="9993" width="10.453125" style="2285" customWidth="1"/>
    <col min="9994" max="9996" width="10.6328125" style="2285" customWidth="1"/>
    <col min="9997" max="10000" width="8.7265625" style="2285"/>
    <col min="10001" max="10001" width="9.6328125" style="2285" bestFit="1" customWidth="1"/>
    <col min="10002" max="10003" width="8.7265625" style="2285"/>
    <col min="10004" max="10004" width="10.6328125" style="2285" bestFit="1" customWidth="1"/>
    <col min="10005" max="10241" width="8.7265625" style="2285"/>
    <col min="10242" max="10242" width="6.6328125" style="2285" customWidth="1"/>
    <col min="10243" max="10243" width="15.6328125" style="2285" customWidth="1"/>
    <col min="10244" max="10244" width="14.08984375" style="2285" customWidth="1"/>
    <col min="10245" max="10245" width="24.6328125" style="2285" customWidth="1"/>
    <col min="10246" max="10247" width="3.7265625" style="2285" customWidth="1"/>
    <col min="10248" max="10248" width="5" style="2285" customWidth="1"/>
    <col min="10249" max="10249" width="10.453125" style="2285" customWidth="1"/>
    <col min="10250" max="10252" width="10.6328125" style="2285" customWidth="1"/>
    <col min="10253" max="10256" width="8.7265625" style="2285"/>
    <col min="10257" max="10257" width="9.6328125" style="2285" bestFit="1" customWidth="1"/>
    <col min="10258" max="10259" width="8.7265625" style="2285"/>
    <col min="10260" max="10260" width="10.6328125" style="2285" bestFit="1" customWidth="1"/>
    <col min="10261" max="10497" width="8.7265625" style="2285"/>
    <col min="10498" max="10498" width="6.6328125" style="2285" customWidth="1"/>
    <col min="10499" max="10499" width="15.6328125" style="2285" customWidth="1"/>
    <col min="10500" max="10500" width="14.08984375" style="2285" customWidth="1"/>
    <col min="10501" max="10501" width="24.6328125" style="2285" customWidth="1"/>
    <col min="10502" max="10503" width="3.7265625" style="2285" customWidth="1"/>
    <col min="10504" max="10504" width="5" style="2285" customWidth="1"/>
    <col min="10505" max="10505" width="10.453125" style="2285" customWidth="1"/>
    <col min="10506" max="10508" width="10.6328125" style="2285" customWidth="1"/>
    <col min="10509" max="10512" width="8.7265625" style="2285"/>
    <col min="10513" max="10513" width="9.6328125" style="2285" bestFit="1" customWidth="1"/>
    <col min="10514" max="10515" width="8.7265625" style="2285"/>
    <col min="10516" max="10516" width="10.6328125" style="2285" bestFit="1" customWidth="1"/>
    <col min="10517" max="10753" width="8.7265625" style="2285"/>
    <col min="10754" max="10754" width="6.6328125" style="2285" customWidth="1"/>
    <col min="10755" max="10755" width="15.6328125" style="2285" customWidth="1"/>
    <col min="10756" max="10756" width="14.08984375" style="2285" customWidth="1"/>
    <col min="10757" max="10757" width="24.6328125" style="2285" customWidth="1"/>
    <col min="10758" max="10759" width="3.7265625" style="2285" customWidth="1"/>
    <col min="10760" max="10760" width="5" style="2285" customWidth="1"/>
    <col min="10761" max="10761" width="10.453125" style="2285" customWidth="1"/>
    <col min="10762" max="10764" width="10.6328125" style="2285" customWidth="1"/>
    <col min="10765" max="10768" width="8.7265625" style="2285"/>
    <col min="10769" max="10769" width="9.6328125" style="2285" bestFit="1" customWidth="1"/>
    <col min="10770" max="10771" width="8.7265625" style="2285"/>
    <col min="10772" max="10772" width="10.6328125" style="2285" bestFit="1" customWidth="1"/>
    <col min="10773" max="11009" width="8.7265625" style="2285"/>
    <col min="11010" max="11010" width="6.6328125" style="2285" customWidth="1"/>
    <col min="11011" max="11011" width="15.6328125" style="2285" customWidth="1"/>
    <col min="11012" max="11012" width="14.08984375" style="2285" customWidth="1"/>
    <col min="11013" max="11013" width="24.6328125" style="2285" customWidth="1"/>
    <col min="11014" max="11015" width="3.7265625" style="2285" customWidth="1"/>
    <col min="11016" max="11016" width="5" style="2285" customWidth="1"/>
    <col min="11017" max="11017" width="10.453125" style="2285" customWidth="1"/>
    <col min="11018" max="11020" width="10.6328125" style="2285" customWidth="1"/>
    <col min="11021" max="11024" width="8.7265625" style="2285"/>
    <col min="11025" max="11025" width="9.6328125" style="2285" bestFit="1" customWidth="1"/>
    <col min="11026" max="11027" width="8.7265625" style="2285"/>
    <col min="11028" max="11028" width="10.6328125" style="2285" bestFit="1" customWidth="1"/>
    <col min="11029" max="11265" width="8.7265625" style="2285"/>
    <col min="11266" max="11266" width="6.6328125" style="2285" customWidth="1"/>
    <col min="11267" max="11267" width="15.6328125" style="2285" customWidth="1"/>
    <col min="11268" max="11268" width="14.08984375" style="2285" customWidth="1"/>
    <col min="11269" max="11269" width="24.6328125" style="2285" customWidth="1"/>
    <col min="11270" max="11271" width="3.7265625" style="2285" customWidth="1"/>
    <col min="11272" max="11272" width="5" style="2285" customWidth="1"/>
    <col min="11273" max="11273" width="10.453125" style="2285" customWidth="1"/>
    <col min="11274" max="11276" width="10.6328125" style="2285" customWidth="1"/>
    <col min="11277" max="11280" width="8.7265625" style="2285"/>
    <col min="11281" max="11281" width="9.6328125" style="2285" bestFit="1" customWidth="1"/>
    <col min="11282" max="11283" width="8.7265625" style="2285"/>
    <col min="11284" max="11284" width="10.6328125" style="2285" bestFit="1" customWidth="1"/>
    <col min="11285" max="11521" width="8.7265625" style="2285"/>
    <col min="11522" max="11522" width="6.6328125" style="2285" customWidth="1"/>
    <col min="11523" max="11523" width="15.6328125" style="2285" customWidth="1"/>
    <col min="11524" max="11524" width="14.08984375" style="2285" customWidth="1"/>
    <col min="11525" max="11525" width="24.6328125" style="2285" customWidth="1"/>
    <col min="11526" max="11527" width="3.7265625" style="2285" customWidth="1"/>
    <col min="11528" max="11528" width="5" style="2285" customWidth="1"/>
    <col min="11529" max="11529" width="10.453125" style="2285" customWidth="1"/>
    <col min="11530" max="11532" width="10.6328125" style="2285" customWidth="1"/>
    <col min="11533" max="11536" width="8.7265625" style="2285"/>
    <col min="11537" max="11537" width="9.6328125" style="2285" bestFit="1" customWidth="1"/>
    <col min="11538" max="11539" width="8.7265625" style="2285"/>
    <col min="11540" max="11540" width="10.6328125" style="2285" bestFit="1" customWidth="1"/>
    <col min="11541" max="11777" width="8.7265625" style="2285"/>
    <col min="11778" max="11778" width="6.6328125" style="2285" customWidth="1"/>
    <col min="11779" max="11779" width="15.6328125" style="2285" customWidth="1"/>
    <col min="11780" max="11780" width="14.08984375" style="2285" customWidth="1"/>
    <col min="11781" max="11781" width="24.6328125" style="2285" customWidth="1"/>
    <col min="11782" max="11783" width="3.7265625" style="2285" customWidth="1"/>
    <col min="11784" max="11784" width="5" style="2285" customWidth="1"/>
    <col min="11785" max="11785" width="10.453125" style="2285" customWidth="1"/>
    <col min="11786" max="11788" width="10.6328125" style="2285" customWidth="1"/>
    <col min="11789" max="11792" width="8.7265625" style="2285"/>
    <col min="11793" max="11793" width="9.6328125" style="2285" bestFit="1" customWidth="1"/>
    <col min="11794" max="11795" width="8.7265625" style="2285"/>
    <col min="11796" max="11796" width="10.6328125" style="2285" bestFit="1" customWidth="1"/>
    <col min="11797" max="12033" width="8.7265625" style="2285"/>
    <col min="12034" max="12034" width="6.6328125" style="2285" customWidth="1"/>
    <col min="12035" max="12035" width="15.6328125" style="2285" customWidth="1"/>
    <col min="12036" max="12036" width="14.08984375" style="2285" customWidth="1"/>
    <col min="12037" max="12037" width="24.6328125" style="2285" customWidth="1"/>
    <col min="12038" max="12039" width="3.7265625" style="2285" customWidth="1"/>
    <col min="12040" max="12040" width="5" style="2285" customWidth="1"/>
    <col min="12041" max="12041" width="10.453125" style="2285" customWidth="1"/>
    <col min="12042" max="12044" width="10.6328125" style="2285" customWidth="1"/>
    <col min="12045" max="12048" width="8.7265625" style="2285"/>
    <col min="12049" max="12049" width="9.6328125" style="2285" bestFit="1" customWidth="1"/>
    <col min="12050" max="12051" width="8.7265625" style="2285"/>
    <col min="12052" max="12052" width="10.6328125" style="2285" bestFit="1" customWidth="1"/>
    <col min="12053" max="12289" width="8.7265625" style="2285"/>
    <col min="12290" max="12290" width="6.6328125" style="2285" customWidth="1"/>
    <col min="12291" max="12291" width="15.6328125" style="2285" customWidth="1"/>
    <col min="12292" max="12292" width="14.08984375" style="2285" customWidth="1"/>
    <col min="12293" max="12293" width="24.6328125" style="2285" customWidth="1"/>
    <col min="12294" max="12295" width="3.7265625" style="2285" customWidth="1"/>
    <col min="12296" max="12296" width="5" style="2285" customWidth="1"/>
    <col min="12297" max="12297" width="10.453125" style="2285" customWidth="1"/>
    <col min="12298" max="12300" width="10.6328125" style="2285" customWidth="1"/>
    <col min="12301" max="12304" width="8.7265625" style="2285"/>
    <col min="12305" max="12305" width="9.6328125" style="2285" bestFit="1" customWidth="1"/>
    <col min="12306" max="12307" width="8.7265625" style="2285"/>
    <col min="12308" max="12308" width="10.6328125" style="2285" bestFit="1" customWidth="1"/>
    <col min="12309" max="12545" width="8.7265625" style="2285"/>
    <col min="12546" max="12546" width="6.6328125" style="2285" customWidth="1"/>
    <col min="12547" max="12547" width="15.6328125" style="2285" customWidth="1"/>
    <col min="12548" max="12548" width="14.08984375" style="2285" customWidth="1"/>
    <col min="12549" max="12549" width="24.6328125" style="2285" customWidth="1"/>
    <col min="12550" max="12551" width="3.7265625" style="2285" customWidth="1"/>
    <col min="12552" max="12552" width="5" style="2285" customWidth="1"/>
    <col min="12553" max="12553" width="10.453125" style="2285" customWidth="1"/>
    <col min="12554" max="12556" width="10.6328125" style="2285" customWidth="1"/>
    <col min="12557" max="12560" width="8.7265625" style="2285"/>
    <col min="12561" max="12561" width="9.6328125" style="2285" bestFit="1" customWidth="1"/>
    <col min="12562" max="12563" width="8.7265625" style="2285"/>
    <col min="12564" max="12564" width="10.6328125" style="2285" bestFit="1" customWidth="1"/>
    <col min="12565" max="12801" width="8.7265625" style="2285"/>
    <col min="12802" max="12802" width="6.6328125" style="2285" customWidth="1"/>
    <col min="12803" max="12803" width="15.6328125" style="2285" customWidth="1"/>
    <col min="12804" max="12804" width="14.08984375" style="2285" customWidth="1"/>
    <col min="12805" max="12805" width="24.6328125" style="2285" customWidth="1"/>
    <col min="12806" max="12807" width="3.7265625" style="2285" customWidth="1"/>
    <col min="12808" max="12808" width="5" style="2285" customWidth="1"/>
    <col min="12809" max="12809" width="10.453125" style="2285" customWidth="1"/>
    <col min="12810" max="12812" width="10.6328125" style="2285" customWidth="1"/>
    <col min="12813" max="12816" width="8.7265625" style="2285"/>
    <col min="12817" max="12817" width="9.6328125" style="2285" bestFit="1" customWidth="1"/>
    <col min="12818" max="12819" width="8.7265625" style="2285"/>
    <col min="12820" max="12820" width="10.6328125" style="2285" bestFit="1" customWidth="1"/>
    <col min="12821" max="13057" width="8.7265625" style="2285"/>
    <col min="13058" max="13058" width="6.6328125" style="2285" customWidth="1"/>
    <col min="13059" max="13059" width="15.6328125" style="2285" customWidth="1"/>
    <col min="13060" max="13060" width="14.08984375" style="2285" customWidth="1"/>
    <col min="13061" max="13061" width="24.6328125" style="2285" customWidth="1"/>
    <col min="13062" max="13063" width="3.7265625" style="2285" customWidth="1"/>
    <col min="13064" max="13064" width="5" style="2285" customWidth="1"/>
    <col min="13065" max="13065" width="10.453125" style="2285" customWidth="1"/>
    <col min="13066" max="13068" width="10.6328125" style="2285" customWidth="1"/>
    <col min="13069" max="13072" width="8.7265625" style="2285"/>
    <col min="13073" max="13073" width="9.6328125" style="2285" bestFit="1" customWidth="1"/>
    <col min="13074" max="13075" width="8.7265625" style="2285"/>
    <col min="13076" max="13076" width="10.6328125" style="2285" bestFit="1" customWidth="1"/>
    <col min="13077" max="13313" width="8.7265625" style="2285"/>
    <col min="13314" max="13314" width="6.6328125" style="2285" customWidth="1"/>
    <col min="13315" max="13315" width="15.6328125" style="2285" customWidth="1"/>
    <col min="13316" max="13316" width="14.08984375" style="2285" customWidth="1"/>
    <col min="13317" max="13317" width="24.6328125" style="2285" customWidth="1"/>
    <col min="13318" max="13319" width="3.7265625" style="2285" customWidth="1"/>
    <col min="13320" max="13320" width="5" style="2285" customWidth="1"/>
    <col min="13321" max="13321" width="10.453125" style="2285" customWidth="1"/>
    <col min="13322" max="13324" width="10.6328125" style="2285" customWidth="1"/>
    <col min="13325" max="13328" width="8.7265625" style="2285"/>
    <col min="13329" max="13329" width="9.6328125" style="2285" bestFit="1" customWidth="1"/>
    <col min="13330" max="13331" width="8.7265625" style="2285"/>
    <col min="13332" max="13332" width="10.6328125" style="2285" bestFit="1" customWidth="1"/>
    <col min="13333" max="13569" width="8.7265625" style="2285"/>
    <col min="13570" max="13570" width="6.6328125" style="2285" customWidth="1"/>
    <col min="13571" max="13571" width="15.6328125" style="2285" customWidth="1"/>
    <col min="13572" max="13572" width="14.08984375" style="2285" customWidth="1"/>
    <col min="13573" max="13573" width="24.6328125" style="2285" customWidth="1"/>
    <col min="13574" max="13575" width="3.7265625" style="2285" customWidth="1"/>
    <col min="13576" max="13576" width="5" style="2285" customWidth="1"/>
    <col min="13577" max="13577" width="10.453125" style="2285" customWidth="1"/>
    <col min="13578" max="13580" width="10.6328125" style="2285" customWidth="1"/>
    <col min="13581" max="13584" width="8.7265625" style="2285"/>
    <col min="13585" max="13585" width="9.6328125" style="2285" bestFit="1" customWidth="1"/>
    <col min="13586" max="13587" width="8.7265625" style="2285"/>
    <col min="13588" max="13588" width="10.6328125" style="2285" bestFit="1" customWidth="1"/>
    <col min="13589" max="13825" width="8.7265625" style="2285"/>
    <col min="13826" max="13826" width="6.6328125" style="2285" customWidth="1"/>
    <col min="13827" max="13827" width="15.6328125" style="2285" customWidth="1"/>
    <col min="13828" max="13828" width="14.08984375" style="2285" customWidth="1"/>
    <col min="13829" max="13829" width="24.6328125" style="2285" customWidth="1"/>
    <col min="13830" max="13831" width="3.7265625" style="2285" customWidth="1"/>
    <col min="13832" max="13832" width="5" style="2285" customWidth="1"/>
    <col min="13833" max="13833" width="10.453125" style="2285" customWidth="1"/>
    <col min="13834" max="13836" width="10.6328125" style="2285" customWidth="1"/>
    <col min="13837" max="13840" width="8.7265625" style="2285"/>
    <col min="13841" max="13841" width="9.6328125" style="2285" bestFit="1" customWidth="1"/>
    <col min="13842" max="13843" width="8.7265625" style="2285"/>
    <col min="13844" max="13844" width="10.6328125" style="2285" bestFit="1" customWidth="1"/>
    <col min="13845" max="14081" width="8.7265625" style="2285"/>
    <col min="14082" max="14082" width="6.6328125" style="2285" customWidth="1"/>
    <col min="14083" max="14083" width="15.6328125" style="2285" customWidth="1"/>
    <col min="14084" max="14084" width="14.08984375" style="2285" customWidth="1"/>
    <col min="14085" max="14085" width="24.6328125" style="2285" customWidth="1"/>
    <col min="14086" max="14087" width="3.7265625" style="2285" customWidth="1"/>
    <col min="14088" max="14088" width="5" style="2285" customWidth="1"/>
    <col min="14089" max="14089" width="10.453125" style="2285" customWidth="1"/>
    <col min="14090" max="14092" width="10.6328125" style="2285" customWidth="1"/>
    <col min="14093" max="14096" width="8.7265625" style="2285"/>
    <col min="14097" max="14097" width="9.6328125" style="2285" bestFit="1" customWidth="1"/>
    <col min="14098" max="14099" width="8.7265625" style="2285"/>
    <col min="14100" max="14100" width="10.6328125" style="2285" bestFit="1" customWidth="1"/>
    <col min="14101" max="14337" width="8.7265625" style="2285"/>
    <col min="14338" max="14338" width="6.6328125" style="2285" customWidth="1"/>
    <col min="14339" max="14339" width="15.6328125" style="2285" customWidth="1"/>
    <col min="14340" max="14340" width="14.08984375" style="2285" customWidth="1"/>
    <col min="14341" max="14341" width="24.6328125" style="2285" customWidth="1"/>
    <col min="14342" max="14343" width="3.7265625" style="2285" customWidth="1"/>
    <col min="14344" max="14344" width="5" style="2285" customWidth="1"/>
    <col min="14345" max="14345" width="10.453125" style="2285" customWidth="1"/>
    <col min="14346" max="14348" width="10.6328125" style="2285" customWidth="1"/>
    <col min="14349" max="14352" width="8.7265625" style="2285"/>
    <col min="14353" max="14353" width="9.6328125" style="2285" bestFit="1" customWidth="1"/>
    <col min="14354" max="14355" width="8.7265625" style="2285"/>
    <col min="14356" max="14356" width="10.6328125" style="2285" bestFit="1" customWidth="1"/>
    <col min="14357" max="14593" width="8.7265625" style="2285"/>
    <col min="14594" max="14594" width="6.6328125" style="2285" customWidth="1"/>
    <col min="14595" max="14595" width="15.6328125" style="2285" customWidth="1"/>
    <col min="14596" max="14596" width="14.08984375" style="2285" customWidth="1"/>
    <col min="14597" max="14597" width="24.6328125" style="2285" customWidth="1"/>
    <col min="14598" max="14599" width="3.7265625" style="2285" customWidth="1"/>
    <col min="14600" max="14600" width="5" style="2285" customWidth="1"/>
    <col min="14601" max="14601" width="10.453125" style="2285" customWidth="1"/>
    <col min="14602" max="14604" width="10.6328125" style="2285" customWidth="1"/>
    <col min="14605" max="14608" width="8.7265625" style="2285"/>
    <col min="14609" max="14609" width="9.6328125" style="2285" bestFit="1" customWidth="1"/>
    <col min="14610" max="14611" width="8.7265625" style="2285"/>
    <col min="14612" max="14612" width="10.6328125" style="2285" bestFit="1" customWidth="1"/>
    <col min="14613" max="14849" width="8.7265625" style="2285"/>
    <col min="14850" max="14850" width="6.6328125" style="2285" customWidth="1"/>
    <col min="14851" max="14851" width="15.6328125" style="2285" customWidth="1"/>
    <col min="14852" max="14852" width="14.08984375" style="2285" customWidth="1"/>
    <col min="14853" max="14853" width="24.6328125" style="2285" customWidth="1"/>
    <col min="14854" max="14855" width="3.7265625" style="2285" customWidth="1"/>
    <col min="14856" max="14856" width="5" style="2285" customWidth="1"/>
    <col min="14857" max="14857" width="10.453125" style="2285" customWidth="1"/>
    <col min="14858" max="14860" width="10.6328125" style="2285" customWidth="1"/>
    <col min="14861" max="14864" width="8.7265625" style="2285"/>
    <col min="14865" max="14865" width="9.6328125" style="2285" bestFit="1" customWidth="1"/>
    <col min="14866" max="14867" width="8.7265625" style="2285"/>
    <col min="14868" max="14868" width="10.6328125" style="2285" bestFit="1" customWidth="1"/>
    <col min="14869" max="15105" width="8.7265625" style="2285"/>
    <col min="15106" max="15106" width="6.6328125" style="2285" customWidth="1"/>
    <col min="15107" max="15107" width="15.6328125" style="2285" customWidth="1"/>
    <col min="15108" max="15108" width="14.08984375" style="2285" customWidth="1"/>
    <col min="15109" max="15109" width="24.6328125" style="2285" customWidth="1"/>
    <col min="15110" max="15111" width="3.7265625" style="2285" customWidth="1"/>
    <col min="15112" max="15112" width="5" style="2285" customWidth="1"/>
    <col min="15113" max="15113" width="10.453125" style="2285" customWidth="1"/>
    <col min="15114" max="15116" width="10.6328125" style="2285" customWidth="1"/>
    <col min="15117" max="15120" width="8.7265625" style="2285"/>
    <col min="15121" max="15121" width="9.6328125" style="2285" bestFit="1" customWidth="1"/>
    <col min="15122" max="15123" width="8.7265625" style="2285"/>
    <col min="15124" max="15124" width="10.6328125" style="2285" bestFit="1" customWidth="1"/>
    <col min="15125" max="15361" width="8.7265625" style="2285"/>
    <col min="15362" max="15362" width="6.6328125" style="2285" customWidth="1"/>
    <col min="15363" max="15363" width="15.6328125" style="2285" customWidth="1"/>
    <col min="15364" max="15364" width="14.08984375" style="2285" customWidth="1"/>
    <col min="15365" max="15365" width="24.6328125" style="2285" customWidth="1"/>
    <col min="15366" max="15367" width="3.7265625" style="2285" customWidth="1"/>
    <col min="15368" max="15368" width="5" style="2285" customWidth="1"/>
    <col min="15369" max="15369" width="10.453125" style="2285" customWidth="1"/>
    <col min="15370" max="15372" width="10.6328125" style="2285" customWidth="1"/>
    <col min="15373" max="15376" width="8.7265625" style="2285"/>
    <col min="15377" max="15377" width="9.6328125" style="2285" bestFit="1" customWidth="1"/>
    <col min="15378" max="15379" width="8.7265625" style="2285"/>
    <col min="15380" max="15380" width="10.6328125" style="2285" bestFit="1" customWidth="1"/>
    <col min="15381" max="15617" width="8.7265625" style="2285"/>
    <col min="15618" max="15618" width="6.6328125" style="2285" customWidth="1"/>
    <col min="15619" max="15619" width="15.6328125" style="2285" customWidth="1"/>
    <col min="15620" max="15620" width="14.08984375" style="2285" customWidth="1"/>
    <col min="15621" max="15621" width="24.6328125" style="2285" customWidth="1"/>
    <col min="15622" max="15623" width="3.7265625" style="2285" customWidth="1"/>
    <col min="15624" max="15624" width="5" style="2285" customWidth="1"/>
    <col min="15625" max="15625" width="10.453125" style="2285" customWidth="1"/>
    <col min="15626" max="15628" width="10.6328125" style="2285" customWidth="1"/>
    <col min="15629" max="15632" width="8.7265625" style="2285"/>
    <col min="15633" max="15633" width="9.6328125" style="2285" bestFit="1" customWidth="1"/>
    <col min="15634" max="15635" width="8.7265625" style="2285"/>
    <col min="15636" max="15636" width="10.6328125" style="2285" bestFit="1" customWidth="1"/>
    <col min="15637" max="15873" width="8.7265625" style="2285"/>
    <col min="15874" max="15874" width="6.6328125" style="2285" customWidth="1"/>
    <col min="15875" max="15875" width="15.6328125" style="2285" customWidth="1"/>
    <col min="15876" max="15876" width="14.08984375" style="2285" customWidth="1"/>
    <col min="15877" max="15877" width="24.6328125" style="2285" customWidth="1"/>
    <col min="15878" max="15879" width="3.7265625" style="2285" customWidth="1"/>
    <col min="15880" max="15880" width="5" style="2285" customWidth="1"/>
    <col min="15881" max="15881" width="10.453125" style="2285" customWidth="1"/>
    <col min="15882" max="15884" width="10.6328125" style="2285" customWidth="1"/>
    <col min="15885" max="15888" width="8.7265625" style="2285"/>
    <col min="15889" max="15889" width="9.6328125" style="2285" bestFit="1" customWidth="1"/>
    <col min="15890" max="15891" width="8.7265625" style="2285"/>
    <col min="15892" max="15892" width="10.6328125" style="2285" bestFit="1" customWidth="1"/>
    <col min="15893" max="16129" width="8.7265625" style="2285"/>
    <col min="16130" max="16130" width="6.6328125" style="2285" customWidth="1"/>
    <col min="16131" max="16131" width="15.6328125" style="2285" customWidth="1"/>
    <col min="16132" max="16132" width="14.08984375" style="2285" customWidth="1"/>
    <col min="16133" max="16133" width="24.6328125" style="2285" customWidth="1"/>
    <col min="16134" max="16135" width="3.7265625" style="2285" customWidth="1"/>
    <col min="16136" max="16136" width="5" style="2285" customWidth="1"/>
    <col min="16137" max="16137" width="10.453125" style="2285" customWidth="1"/>
    <col min="16138" max="16140" width="10.6328125" style="2285" customWidth="1"/>
    <col min="16141" max="16144" width="8.7265625" style="2285"/>
    <col min="16145" max="16145" width="9.6328125" style="2285" bestFit="1" customWidth="1"/>
    <col min="16146" max="16147" width="8.7265625" style="2285"/>
    <col min="16148" max="16148" width="10.6328125" style="2285" bestFit="1" customWidth="1"/>
    <col min="16149" max="16384" width="8.7265625" style="2285"/>
  </cols>
  <sheetData>
    <row r="1" spans="1:14" s="2280" customFormat="1" ht="30.25" customHeight="1">
      <c r="B1" s="2281" t="s">
        <v>1294</v>
      </c>
      <c r="I1" s="2282"/>
      <c r="J1" s="2283" t="s">
        <v>2138</v>
      </c>
      <c r="K1" s="2283"/>
      <c r="L1" s="2283"/>
      <c r="M1" s="2283"/>
      <c r="N1" s="2283"/>
    </row>
    <row r="2" spans="1:14" s="2280" customFormat="1" ht="15" customHeight="1">
      <c r="I2" s="2282"/>
      <c r="J2" s="2283"/>
      <c r="K2" s="2283"/>
      <c r="L2" s="2283"/>
      <c r="M2" s="2283"/>
      <c r="N2" s="2283"/>
    </row>
    <row r="3" spans="1:14" s="2280" customFormat="1" ht="21" customHeight="1">
      <c r="B3" s="2284" t="s">
        <v>1295</v>
      </c>
      <c r="I3" s="2282"/>
      <c r="J3" s="2283"/>
      <c r="K3" s="2283"/>
      <c r="L3" s="2283"/>
      <c r="M3" s="2283"/>
      <c r="N3" s="2283"/>
    </row>
    <row r="4" spans="1:14" ht="21.75" customHeight="1">
      <c r="B4" s="2286" t="s">
        <v>1298</v>
      </c>
      <c r="C4" s="2287" t="s">
        <v>1299</v>
      </c>
      <c r="D4" s="2287" t="s">
        <v>1300</v>
      </c>
      <c r="E4" s="2287" t="s">
        <v>1301</v>
      </c>
      <c r="F4" s="2287" t="s">
        <v>1302</v>
      </c>
      <c r="G4" s="2287"/>
      <c r="H4" s="2288" t="s">
        <v>1303</v>
      </c>
      <c r="I4" s="2289" t="s">
        <v>2374</v>
      </c>
      <c r="J4" s="2289"/>
      <c r="K4" s="2289"/>
      <c r="L4" s="2289"/>
    </row>
    <row r="5" spans="1:14" ht="39.25" customHeight="1">
      <c r="B5" s="2290"/>
      <c r="C5" s="2287"/>
      <c r="D5" s="2287"/>
      <c r="E5" s="2287"/>
      <c r="F5" s="2291" t="s">
        <v>1304</v>
      </c>
      <c r="G5" s="2291" t="s">
        <v>1305</v>
      </c>
      <c r="H5" s="2288"/>
      <c r="I5" s="2292" t="s">
        <v>1307</v>
      </c>
      <c r="J5" s="2292" t="s">
        <v>1308</v>
      </c>
      <c r="K5" s="2292" t="s">
        <v>1309</v>
      </c>
      <c r="L5" s="2292" t="s">
        <v>1310</v>
      </c>
    </row>
    <row r="6" spans="1:14" ht="26.65" customHeight="1">
      <c r="A6" s="2293">
        <f>COUNTIF(C6:C$6,C6)</f>
        <v>1</v>
      </c>
      <c r="B6" s="2294" t="s">
        <v>255</v>
      </c>
      <c r="C6" s="2295" t="s">
        <v>760</v>
      </c>
      <c r="D6" s="2296"/>
      <c r="E6" s="2297" t="s">
        <v>1329</v>
      </c>
      <c r="F6" s="2298" t="s">
        <v>2140</v>
      </c>
      <c r="G6" s="2298" t="s">
        <v>2139</v>
      </c>
      <c r="H6" s="2299">
        <v>0.25</v>
      </c>
      <c r="I6" s="2300">
        <v>176462</v>
      </c>
      <c r="J6" s="2301">
        <v>58040</v>
      </c>
      <c r="K6" s="2301">
        <f>ROUNDDOWN(J6*H6,0)</f>
        <v>14510</v>
      </c>
      <c r="L6" s="675">
        <v>0</v>
      </c>
    </row>
    <row r="7" spans="1:14" ht="25.5" customHeight="1">
      <c r="B7" s="2302" t="s">
        <v>34</v>
      </c>
      <c r="C7" s="676" t="s">
        <v>2375</v>
      </c>
      <c r="D7" s="2303"/>
      <c r="E7" s="2304">
        <f>COUNTA(E6)</f>
        <v>1</v>
      </c>
      <c r="F7" s="2305"/>
      <c r="G7" s="2305"/>
      <c r="H7" s="2303"/>
      <c r="I7" s="2306">
        <f>SUM(I5:I6)</f>
        <v>176462</v>
      </c>
      <c r="J7" s="2306">
        <f>SUM(J5:J6)</f>
        <v>58040</v>
      </c>
      <c r="K7" s="2306">
        <f>SUM(K5:K6)</f>
        <v>14510</v>
      </c>
      <c r="L7" s="2306">
        <f>SUM(L5:L6)</f>
        <v>0</v>
      </c>
    </row>
    <row r="8" spans="1:14" s="2280" customFormat="1" ht="9.65" customHeight="1">
      <c r="B8" s="2293"/>
      <c r="I8" s="2282"/>
      <c r="J8" s="2283"/>
      <c r="K8" s="2283"/>
      <c r="L8" s="2283"/>
      <c r="M8" s="2283"/>
      <c r="N8" s="2283"/>
    </row>
    <row r="9" spans="1:14" s="2280" customFormat="1" ht="21" customHeight="1">
      <c r="B9" s="2293" t="s">
        <v>1296</v>
      </c>
      <c r="I9" s="2282"/>
      <c r="J9" s="2283"/>
      <c r="K9" s="2283"/>
      <c r="L9" s="2283"/>
      <c r="M9" s="2283"/>
      <c r="N9" s="2283"/>
    </row>
    <row r="10" spans="1:14" s="2280" customFormat="1" ht="21" customHeight="1">
      <c r="B10" s="2293" t="s">
        <v>2376</v>
      </c>
      <c r="I10" s="2282"/>
      <c r="J10" s="2283"/>
      <c r="K10" s="2283"/>
      <c r="L10" s="2283"/>
      <c r="M10" s="2283"/>
      <c r="N10" s="2283"/>
    </row>
    <row r="11" spans="1:14" s="2307" customFormat="1" ht="10.5" customHeight="1">
      <c r="I11" s="2308"/>
      <c r="J11" s="2309"/>
      <c r="K11" s="2309"/>
      <c r="L11" s="2309"/>
      <c r="M11" s="2309"/>
      <c r="N11" s="2309"/>
    </row>
    <row r="12" spans="1:14" s="2284" customFormat="1" ht="21" customHeight="1">
      <c r="B12" s="2293" t="s">
        <v>1297</v>
      </c>
      <c r="I12" s="2310"/>
      <c r="J12" s="2311"/>
      <c r="K12" s="2311"/>
      <c r="L12" s="2311"/>
      <c r="M12" s="2311"/>
      <c r="N12" s="2311"/>
    </row>
    <row r="13" spans="1:14" ht="21.75" customHeight="1">
      <c r="B13" s="2286" t="s">
        <v>1298</v>
      </c>
      <c r="C13" s="2287" t="s">
        <v>1299</v>
      </c>
      <c r="D13" s="2287" t="s">
        <v>1300</v>
      </c>
      <c r="E13" s="2287" t="s">
        <v>1301</v>
      </c>
      <c r="F13" s="2287" t="s">
        <v>1302</v>
      </c>
      <c r="G13" s="2287"/>
      <c r="H13" s="2288" t="s">
        <v>1303</v>
      </c>
      <c r="I13" s="2289" t="s">
        <v>2374</v>
      </c>
      <c r="J13" s="2289"/>
      <c r="K13" s="2289"/>
      <c r="L13" s="2289"/>
    </row>
    <row r="14" spans="1:14" ht="39.25" customHeight="1">
      <c r="B14" s="2290"/>
      <c r="C14" s="2287"/>
      <c r="D14" s="2287"/>
      <c r="E14" s="2287"/>
      <c r="F14" s="2291" t="s">
        <v>1304</v>
      </c>
      <c r="G14" s="2291" t="s">
        <v>1305</v>
      </c>
      <c r="H14" s="2288"/>
      <c r="I14" s="2292" t="s">
        <v>1307</v>
      </c>
      <c r="J14" s="2292" t="s">
        <v>1308</v>
      </c>
      <c r="K14" s="2292" t="s">
        <v>1309</v>
      </c>
      <c r="L14" s="2292" t="s">
        <v>1310</v>
      </c>
    </row>
    <row r="15" spans="1:14" ht="26.65" customHeight="1">
      <c r="A15" s="2293">
        <f>COUNTIF(C$15:C15,C15)</f>
        <v>1</v>
      </c>
      <c r="B15" s="2294" t="s">
        <v>737</v>
      </c>
      <c r="C15" s="2295" t="s">
        <v>1311</v>
      </c>
      <c r="D15" s="2296" t="s">
        <v>1312</v>
      </c>
      <c r="E15" s="2297" t="s">
        <v>1313</v>
      </c>
      <c r="F15" s="2298">
        <v>26</v>
      </c>
      <c r="G15" s="2298" t="s">
        <v>2139</v>
      </c>
      <c r="H15" s="2312">
        <v>0.4</v>
      </c>
      <c r="I15" s="2300">
        <v>33768</v>
      </c>
      <c r="J15" s="2301">
        <v>33768</v>
      </c>
      <c r="K15" s="2301">
        <f t="shared" ref="K15:K37" si="0">ROUNDDOWN(J15*H15,0)</f>
        <v>13507</v>
      </c>
      <c r="L15" s="675">
        <v>0</v>
      </c>
    </row>
    <row r="16" spans="1:14" ht="26.65" customHeight="1">
      <c r="A16" s="2293">
        <f>COUNTIF(C$15:C16,C16)</f>
        <v>1</v>
      </c>
      <c r="B16" s="2294" t="s">
        <v>711</v>
      </c>
      <c r="C16" s="2295" t="s">
        <v>2377</v>
      </c>
      <c r="D16" s="2296" t="s">
        <v>2378</v>
      </c>
      <c r="E16" s="2297" t="s">
        <v>1316</v>
      </c>
      <c r="F16" s="2298" t="s">
        <v>2139</v>
      </c>
      <c r="G16" s="2298" t="s">
        <v>2139</v>
      </c>
      <c r="H16" s="2312">
        <v>0.4</v>
      </c>
      <c r="I16" s="2300">
        <v>63250</v>
      </c>
      <c r="J16" s="2301">
        <v>63250</v>
      </c>
      <c r="K16" s="2301">
        <f t="shared" si="0"/>
        <v>25300</v>
      </c>
      <c r="L16" s="675">
        <v>0</v>
      </c>
    </row>
    <row r="17" spans="1:12" ht="26.65" customHeight="1">
      <c r="A17" s="2293">
        <f>COUNTIF(C$15:C17,C17)</f>
        <v>1</v>
      </c>
      <c r="B17" s="2294" t="s">
        <v>737</v>
      </c>
      <c r="C17" s="2295" t="s">
        <v>1317</v>
      </c>
      <c r="D17" s="2296" t="s">
        <v>2379</v>
      </c>
      <c r="E17" s="2297" t="s">
        <v>1316</v>
      </c>
      <c r="F17" s="2298" t="s">
        <v>2140</v>
      </c>
      <c r="G17" s="2298" t="s">
        <v>2141</v>
      </c>
      <c r="H17" s="2312">
        <v>0.4</v>
      </c>
      <c r="I17" s="2300">
        <v>27170</v>
      </c>
      <c r="J17" s="2301">
        <v>25392</v>
      </c>
      <c r="K17" s="2301">
        <f>ROUNDDOWN(J17*H17,0)</f>
        <v>10156</v>
      </c>
      <c r="L17" s="675">
        <v>0</v>
      </c>
    </row>
    <row r="18" spans="1:12" ht="26.65" customHeight="1">
      <c r="A18" s="2293">
        <f>COUNTIF(C$15:C18,C18)</f>
        <v>1</v>
      </c>
      <c r="B18" s="2294" t="s">
        <v>737</v>
      </c>
      <c r="C18" s="2295" t="s">
        <v>1319</v>
      </c>
      <c r="D18" s="2296" t="s">
        <v>1320</v>
      </c>
      <c r="E18" s="2297" t="s">
        <v>1318</v>
      </c>
      <c r="F18" s="2298">
        <v>27</v>
      </c>
      <c r="G18" s="2298" t="s">
        <v>2145</v>
      </c>
      <c r="H18" s="2312">
        <v>0.4</v>
      </c>
      <c r="I18" s="2300">
        <v>166441</v>
      </c>
      <c r="J18" s="2301">
        <v>152100</v>
      </c>
      <c r="K18" s="2301">
        <f t="shared" si="0"/>
        <v>60840</v>
      </c>
      <c r="L18" s="675">
        <v>0</v>
      </c>
    </row>
    <row r="19" spans="1:12" ht="26.65" customHeight="1">
      <c r="A19" s="2293">
        <f>COUNTIF(C$15:C19,C19)</f>
        <v>1</v>
      </c>
      <c r="B19" s="2294" t="s">
        <v>737</v>
      </c>
      <c r="C19" s="2295" t="s">
        <v>1321</v>
      </c>
      <c r="D19" s="2296" t="s">
        <v>1322</v>
      </c>
      <c r="E19" s="2297" t="s">
        <v>1318</v>
      </c>
      <c r="F19" s="2298">
        <v>28</v>
      </c>
      <c r="G19" s="2298" t="s">
        <v>2146</v>
      </c>
      <c r="H19" s="2299">
        <v>0.33333333333333331</v>
      </c>
      <c r="I19" s="2300">
        <v>5170</v>
      </c>
      <c r="J19" s="2301">
        <v>4104</v>
      </c>
      <c r="K19" s="2301">
        <f t="shared" si="0"/>
        <v>1368</v>
      </c>
      <c r="L19" s="675">
        <v>0</v>
      </c>
    </row>
    <row r="20" spans="1:12" ht="26.65" customHeight="1">
      <c r="A20" s="2293">
        <f>COUNTIF(C$15:C20,C20)</f>
        <v>1</v>
      </c>
      <c r="B20" s="2294" t="s">
        <v>745</v>
      </c>
      <c r="C20" s="2295" t="s">
        <v>1324</v>
      </c>
      <c r="D20" s="2296" t="s">
        <v>1325</v>
      </c>
      <c r="E20" s="2297" t="s">
        <v>1318</v>
      </c>
      <c r="F20" s="2298">
        <v>30</v>
      </c>
      <c r="G20" s="2298" t="s">
        <v>2144</v>
      </c>
      <c r="H20" s="2299">
        <v>0.25</v>
      </c>
      <c r="I20" s="2300">
        <v>18854</v>
      </c>
      <c r="J20" s="2301">
        <v>17182</v>
      </c>
      <c r="K20" s="2301">
        <f>ROUNDDOWN(J20*H20,0)</f>
        <v>4295</v>
      </c>
      <c r="L20" s="675">
        <v>0</v>
      </c>
    </row>
    <row r="21" spans="1:12" ht="26.65" customHeight="1">
      <c r="A21" s="2293">
        <f>COUNTIF(C$15:C21,C21)</f>
        <v>1</v>
      </c>
      <c r="B21" s="2294" t="s">
        <v>745</v>
      </c>
      <c r="C21" s="2295" t="s">
        <v>1326</v>
      </c>
      <c r="D21" s="2296" t="s">
        <v>1327</v>
      </c>
      <c r="E21" s="2297" t="s">
        <v>1318</v>
      </c>
      <c r="F21" s="2298">
        <v>30</v>
      </c>
      <c r="G21" s="2298" t="s">
        <v>2144</v>
      </c>
      <c r="H21" s="2299">
        <v>0.33333333333333331</v>
      </c>
      <c r="I21" s="2300">
        <v>71291</v>
      </c>
      <c r="J21" s="2301">
        <v>70290</v>
      </c>
      <c r="K21" s="2301">
        <f t="shared" si="0"/>
        <v>23430</v>
      </c>
      <c r="L21" s="675">
        <v>0</v>
      </c>
    </row>
    <row r="22" spans="1:12" ht="26.65" customHeight="1">
      <c r="A22" s="2293">
        <f>COUNTIF(C$15:C22,C22)</f>
        <v>1</v>
      </c>
      <c r="B22" s="2294" t="s">
        <v>516</v>
      </c>
      <c r="C22" s="2295" t="s">
        <v>1323</v>
      </c>
      <c r="D22" s="2296" t="s">
        <v>1323</v>
      </c>
      <c r="E22" s="2297" t="s">
        <v>1318</v>
      </c>
      <c r="F22" s="2298" t="s">
        <v>2140</v>
      </c>
      <c r="G22" s="2298" t="s">
        <v>2143</v>
      </c>
      <c r="H22" s="2299">
        <v>0.25</v>
      </c>
      <c r="I22" s="2300">
        <v>98549</v>
      </c>
      <c r="J22" s="2301">
        <v>88108</v>
      </c>
      <c r="K22" s="2301">
        <f>ROUNDDOWN(J22*H22,0)</f>
        <v>22027</v>
      </c>
      <c r="L22" s="675">
        <v>6977</v>
      </c>
    </row>
    <row r="23" spans="1:12" ht="26.65" customHeight="1">
      <c r="A23" s="2293">
        <f>COUNTIF(C$15:C23,C23)</f>
        <v>1</v>
      </c>
      <c r="B23" s="2294" t="s">
        <v>745</v>
      </c>
      <c r="C23" s="2295" t="s">
        <v>2380</v>
      </c>
      <c r="D23" s="2296" t="s">
        <v>2381</v>
      </c>
      <c r="E23" s="2297" t="s">
        <v>1318</v>
      </c>
      <c r="F23" s="2298" t="s">
        <v>2139</v>
      </c>
      <c r="G23" s="2298" t="s">
        <v>2382</v>
      </c>
      <c r="H23" s="2299">
        <v>0.33333333333333331</v>
      </c>
      <c r="I23" s="2300">
        <v>58716</v>
      </c>
      <c r="J23" s="2301">
        <v>53691</v>
      </c>
      <c r="K23" s="2301">
        <f>ROUNDDOWN(J23*H23,0)</f>
        <v>17897</v>
      </c>
      <c r="L23" s="675">
        <v>0</v>
      </c>
    </row>
    <row r="24" spans="1:12" ht="26.65" customHeight="1">
      <c r="A24" s="2293">
        <f>COUNTIF(C$15:C24,C24)</f>
        <v>1</v>
      </c>
      <c r="B24" s="2294" t="s">
        <v>255</v>
      </c>
      <c r="C24" s="2295" t="s">
        <v>1328</v>
      </c>
      <c r="D24" s="2296" t="s">
        <v>1328</v>
      </c>
      <c r="E24" s="2297" t="s">
        <v>1318</v>
      </c>
      <c r="F24" s="2298">
        <v>30</v>
      </c>
      <c r="G24" s="2298" t="s">
        <v>2145</v>
      </c>
      <c r="H24" s="2299">
        <v>0.33333333333333331</v>
      </c>
      <c r="I24" s="2300">
        <v>90519</v>
      </c>
      <c r="J24" s="2301">
        <v>85671</v>
      </c>
      <c r="K24" s="2301">
        <f t="shared" si="0"/>
        <v>28557</v>
      </c>
      <c r="L24" s="675">
        <v>0</v>
      </c>
    </row>
    <row r="25" spans="1:12" ht="26.65" customHeight="1">
      <c r="A25" s="2293">
        <f>COUNTIF(C$15:C25,C25)</f>
        <v>1</v>
      </c>
      <c r="B25" s="2294" t="s">
        <v>768</v>
      </c>
      <c r="C25" s="2295" t="s">
        <v>771</v>
      </c>
      <c r="D25" s="2296"/>
      <c r="E25" s="2297" t="s">
        <v>1329</v>
      </c>
      <c r="F25" s="2298" t="s">
        <v>2139</v>
      </c>
      <c r="G25" s="2298" t="s">
        <v>2145</v>
      </c>
      <c r="H25" s="2299">
        <v>0.25</v>
      </c>
      <c r="I25" s="2300">
        <v>158796</v>
      </c>
      <c r="J25" s="2301">
        <v>60159</v>
      </c>
      <c r="K25" s="2301">
        <f>ROUNDDOWN(J25*H25,0)</f>
        <v>15039</v>
      </c>
      <c r="L25" s="675">
        <v>0</v>
      </c>
    </row>
    <row r="26" spans="1:12" ht="26.65" customHeight="1">
      <c r="A26" s="2293">
        <f>COUNTIF(C$15:C26,C26)</f>
        <v>1</v>
      </c>
      <c r="B26" s="2294" t="s">
        <v>711</v>
      </c>
      <c r="C26" s="2295" t="s">
        <v>712</v>
      </c>
      <c r="D26" s="2296"/>
      <c r="E26" s="2297" t="s">
        <v>1330</v>
      </c>
      <c r="F26" s="2298">
        <v>29</v>
      </c>
      <c r="G26" s="2298" t="s">
        <v>2144</v>
      </c>
      <c r="H26" s="2299">
        <v>0.25</v>
      </c>
      <c r="I26" s="2300">
        <v>427479</v>
      </c>
      <c r="J26" s="2301">
        <v>427435</v>
      </c>
      <c r="K26" s="2301">
        <f t="shared" si="0"/>
        <v>106858</v>
      </c>
      <c r="L26" s="675">
        <v>0</v>
      </c>
    </row>
    <row r="27" spans="1:12" ht="26.65" customHeight="1">
      <c r="A27" s="2293">
        <f>COUNTIF(C$15:C27,C27)</f>
        <v>1</v>
      </c>
      <c r="B27" s="2294" t="s">
        <v>737</v>
      </c>
      <c r="C27" s="2295" t="s">
        <v>1331</v>
      </c>
      <c r="D27" s="2296"/>
      <c r="E27" s="2297" t="s">
        <v>1332</v>
      </c>
      <c r="F27" s="2298" t="s">
        <v>2140</v>
      </c>
      <c r="G27" s="2298" t="s">
        <v>2141</v>
      </c>
      <c r="H27" s="2299">
        <v>0.25</v>
      </c>
      <c r="I27" s="2313">
        <v>15378</v>
      </c>
      <c r="J27" s="2301">
        <v>13980</v>
      </c>
      <c r="K27" s="2301">
        <f>ROUNDDOWN(J27*H27,0)</f>
        <v>3495</v>
      </c>
      <c r="L27" s="675">
        <v>0</v>
      </c>
    </row>
    <row r="28" spans="1:12" ht="26.65" customHeight="1">
      <c r="A28" s="2293">
        <f>COUNTIF(C$15:C28,C28)</f>
        <v>2</v>
      </c>
      <c r="B28" s="2294" t="s">
        <v>711</v>
      </c>
      <c r="C28" s="2295" t="s">
        <v>712</v>
      </c>
      <c r="D28" s="2296"/>
      <c r="E28" s="2297" t="s">
        <v>1333</v>
      </c>
      <c r="F28" s="2298">
        <v>29</v>
      </c>
      <c r="G28" s="2298" t="s">
        <v>2383</v>
      </c>
      <c r="H28" s="2299">
        <v>0.25</v>
      </c>
      <c r="I28" s="2313">
        <v>299981</v>
      </c>
      <c r="J28" s="2301">
        <v>189965</v>
      </c>
      <c r="K28" s="2301">
        <f>ROUNDDOWN(J28*H28,0)</f>
        <v>47491</v>
      </c>
      <c r="L28" s="675">
        <v>0</v>
      </c>
    </row>
    <row r="29" spans="1:12" ht="26.65" customHeight="1">
      <c r="A29" s="2293">
        <f>COUNTIF(C$15:C29,C29)</f>
        <v>1</v>
      </c>
      <c r="B29" s="2294" t="s">
        <v>512</v>
      </c>
      <c r="C29" s="2295" t="s">
        <v>730</v>
      </c>
      <c r="D29" s="2296"/>
      <c r="E29" s="2297" t="s">
        <v>1333</v>
      </c>
      <c r="F29" s="2298" t="s">
        <v>2139</v>
      </c>
      <c r="G29" s="2298" t="s">
        <v>2143</v>
      </c>
      <c r="H29" s="2299">
        <v>0.25</v>
      </c>
      <c r="I29" s="2313">
        <v>150887</v>
      </c>
      <c r="J29" s="2301">
        <v>132010</v>
      </c>
      <c r="K29" s="2301">
        <f>ROUNDDOWN(J29*H29,0)</f>
        <v>33002</v>
      </c>
      <c r="L29" s="675">
        <v>0</v>
      </c>
    </row>
    <row r="30" spans="1:12" ht="26.65" customHeight="1">
      <c r="A30" s="2293">
        <f>COUNTIF(C$15:C30,C30)</f>
        <v>1</v>
      </c>
      <c r="B30" s="2294" t="s">
        <v>516</v>
      </c>
      <c r="C30" s="2295" t="s">
        <v>806</v>
      </c>
      <c r="D30" s="2296"/>
      <c r="E30" s="2297" t="s">
        <v>1333</v>
      </c>
      <c r="F30" s="2298" t="s">
        <v>2140</v>
      </c>
      <c r="G30" s="2298" t="s">
        <v>2384</v>
      </c>
      <c r="H30" s="2299">
        <v>0.25</v>
      </c>
      <c r="I30" s="2313">
        <v>67914</v>
      </c>
      <c r="J30" s="2301">
        <v>57100</v>
      </c>
      <c r="K30" s="2301">
        <f t="shared" si="0"/>
        <v>14275</v>
      </c>
      <c r="L30" s="675">
        <v>0</v>
      </c>
    </row>
    <row r="31" spans="1:12" ht="26.65" customHeight="1">
      <c r="A31" s="2293">
        <f>COUNTIF(C$15:C31,C31)</f>
        <v>1</v>
      </c>
      <c r="B31" s="2294" t="s">
        <v>255</v>
      </c>
      <c r="C31" s="2295" t="s">
        <v>1334</v>
      </c>
      <c r="D31" s="2296"/>
      <c r="E31" s="2297" t="s">
        <v>1333</v>
      </c>
      <c r="F31" s="2298" t="s">
        <v>2139</v>
      </c>
      <c r="G31" s="2298" t="s">
        <v>2384</v>
      </c>
      <c r="H31" s="2299">
        <v>0.25</v>
      </c>
      <c r="I31" s="2300">
        <v>4722</v>
      </c>
      <c r="J31" s="2301">
        <v>4722</v>
      </c>
      <c r="K31" s="2301">
        <f t="shared" si="0"/>
        <v>1180</v>
      </c>
      <c r="L31" s="675">
        <v>0</v>
      </c>
    </row>
    <row r="32" spans="1:12" ht="26.65" customHeight="1">
      <c r="A32" s="2293">
        <f>COUNTIF(C$15:C32,C32)</f>
        <v>3</v>
      </c>
      <c r="B32" s="2294" t="s">
        <v>711</v>
      </c>
      <c r="C32" s="2295" t="s">
        <v>712</v>
      </c>
      <c r="D32" s="2296"/>
      <c r="E32" s="2297" t="s">
        <v>1335</v>
      </c>
      <c r="F32" s="2298">
        <v>29</v>
      </c>
      <c r="G32" s="2298" t="s">
        <v>2143</v>
      </c>
      <c r="H32" s="2299">
        <v>0.25</v>
      </c>
      <c r="I32" s="2314">
        <v>352058</v>
      </c>
      <c r="J32" s="2301">
        <v>39639</v>
      </c>
      <c r="K32" s="2301">
        <f t="shared" si="0"/>
        <v>9909</v>
      </c>
      <c r="L32" s="675">
        <v>0</v>
      </c>
    </row>
    <row r="33" spans="1:13" ht="26.65" customHeight="1">
      <c r="A33" s="2293">
        <f>COUNTIF(C$15:C33,C33)</f>
        <v>1</v>
      </c>
      <c r="B33" s="2294" t="s">
        <v>704</v>
      </c>
      <c r="C33" s="2295" t="s">
        <v>705</v>
      </c>
      <c r="D33" s="2296"/>
      <c r="E33" s="2297" t="s">
        <v>2385</v>
      </c>
      <c r="F33" s="2298">
        <v>29</v>
      </c>
      <c r="G33" s="2298" t="s">
        <v>2142</v>
      </c>
      <c r="H33" s="2299">
        <v>0.33333333333333331</v>
      </c>
      <c r="I33" s="2300">
        <v>130119</v>
      </c>
      <c r="J33" s="2301">
        <v>50000</v>
      </c>
      <c r="K33" s="2301">
        <f t="shared" si="0"/>
        <v>16666</v>
      </c>
      <c r="L33" s="675">
        <v>16666</v>
      </c>
    </row>
    <row r="34" spans="1:13" ht="26.65" customHeight="1">
      <c r="A34" s="2293">
        <f>COUNTIF(C$15:C34,C34)</f>
        <v>1</v>
      </c>
      <c r="B34" s="2294" t="s">
        <v>516</v>
      </c>
      <c r="C34" s="2295" t="s">
        <v>1266</v>
      </c>
      <c r="D34" s="2296"/>
      <c r="E34" s="2297" t="s">
        <v>2385</v>
      </c>
      <c r="F34" s="2298">
        <v>30</v>
      </c>
      <c r="G34" s="2298" t="s">
        <v>2141</v>
      </c>
      <c r="H34" s="2299">
        <v>0.33333333333333331</v>
      </c>
      <c r="I34" s="2300">
        <v>118888</v>
      </c>
      <c r="J34" s="2301">
        <v>58760</v>
      </c>
      <c r="K34" s="2301">
        <f>ROUNDDOWN(J34*H34,0)</f>
        <v>19586</v>
      </c>
      <c r="L34" s="675">
        <v>0</v>
      </c>
    </row>
    <row r="35" spans="1:13" ht="26.25" customHeight="1">
      <c r="A35" s="2293">
        <f>COUNTIF(C$15:C35,C35)</f>
        <v>1</v>
      </c>
      <c r="B35" s="2294" t="s">
        <v>255</v>
      </c>
      <c r="C35" s="2295" t="s">
        <v>760</v>
      </c>
      <c r="D35" s="2296"/>
      <c r="E35" s="2297" t="s">
        <v>2385</v>
      </c>
      <c r="F35" s="2298">
        <v>29</v>
      </c>
      <c r="G35" s="2298" t="s">
        <v>2141</v>
      </c>
      <c r="H35" s="2299">
        <v>0.33333333333333331</v>
      </c>
      <c r="I35" s="2300">
        <v>62513</v>
      </c>
      <c r="J35" s="2301">
        <v>35787</v>
      </c>
      <c r="K35" s="2301">
        <f>ROUNDDOWN(J35*H35,0)</f>
        <v>11929</v>
      </c>
      <c r="L35" s="675">
        <v>0</v>
      </c>
    </row>
    <row r="36" spans="1:13" ht="26.25" customHeight="1">
      <c r="A36" s="2293">
        <f>COUNTIF(C$15:C36,C36)</f>
        <v>2</v>
      </c>
      <c r="B36" s="2294" t="s">
        <v>255</v>
      </c>
      <c r="C36" s="2295" t="s">
        <v>1334</v>
      </c>
      <c r="D36" s="2296"/>
      <c r="E36" s="2297" t="s">
        <v>2386</v>
      </c>
      <c r="F36" s="2298" t="s">
        <v>2139</v>
      </c>
      <c r="G36" s="2298" t="s">
        <v>2139</v>
      </c>
      <c r="H36" s="2299">
        <v>0.33333333333333331</v>
      </c>
      <c r="I36" s="2300">
        <v>3410</v>
      </c>
      <c r="J36" s="2301">
        <v>3000</v>
      </c>
      <c r="K36" s="2301">
        <f>ROUNDDOWN(J36*H36,0)</f>
        <v>1000</v>
      </c>
      <c r="L36" s="675">
        <v>0</v>
      </c>
    </row>
    <row r="37" spans="1:13" ht="26.25" customHeight="1">
      <c r="A37" s="2293">
        <f>COUNTIF(C$15:C37,C37)</f>
        <v>2</v>
      </c>
      <c r="B37" s="2294" t="s">
        <v>512</v>
      </c>
      <c r="C37" s="2295" t="s">
        <v>730</v>
      </c>
      <c r="D37" s="2296"/>
      <c r="E37" s="2297" t="s">
        <v>2054</v>
      </c>
      <c r="F37" s="2298" t="s">
        <v>2139</v>
      </c>
      <c r="G37" s="2298" t="s">
        <v>2139</v>
      </c>
      <c r="H37" s="2299">
        <v>0.33333333333333331</v>
      </c>
      <c r="I37" s="2300">
        <v>8910</v>
      </c>
      <c r="J37" s="2301">
        <v>8677</v>
      </c>
      <c r="K37" s="2301">
        <f t="shared" si="0"/>
        <v>2892</v>
      </c>
      <c r="L37" s="675">
        <v>0</v>
      </c>
    </row>
    <row r="38" spans="1:13" ht="26.25" customHeight="1">
      <c r="A38" s="2293">
        <f>COUNTIF(A15:A37,1)</f>
        <v>19</v>
      </c>
      <c r="B38" s="2302" t="s">
        <v>34</v>
      </c>
      <c r="C38" s="676" t="s">
        <v>2387</v>
      </c>
      <c r="D38" s="2303"/>
      <c r="E38" s="2304">
        <f>COUNTA(E15:E37)</f>
        <v>23</v>
      </c>
      <c r="F38" s="2305"/>
      <c r="G38" s="2305"/>
      <c r="H38" s="2303"/>
      <c r="I38" s="2306">
        <f>SUM(I15:I37)</f>
        <v>2434783</v>
      </c>
      <c r="J38" s="2306">
        <f>SUM(J15:J37)</f>
        <v>1674790</v>
      </c>
      <c r="K38" s="2306">
        <f>SUM(K15:K37)</f>
        <v>490699</v>
      </c>
      <c r="L38" s="2306">
        <f>SUM(L15:L37)</f>
        <v>23643</v>
      </c>
    </row>
    <row r="39" spans="1:13">
      <c r="B39" s="2315"/>
      <c r="C39" s="2316"/>
      <c r="E39" s="2316"/>
      <c r="F39" s="2317"/>
      <c r="G39" s="2317"/>
      <c r="I39" s="2318"/>
      <c r="J39" s="2318"/>
      <c r="K39" s="2318"/>
      <c r="L39" s="2318"/>
    </row>
    <row r="40" spans="1:13" ht="26.25" customHeight="1">
      <c r="B40" s="2284" t="s">
        <v>2388</v>
      </c>
      <c r="F40" s="2317"/>
      <c r="G40" s="2317"/>
      <c r="J40" s="2319"/>
      <c r="K40" s="2319"/>
      <c r="L40" s="2319"/>
    </row>
    <row r="41" spans="1:13" ht="26.65" customHeight="1">
      <c r="A41" s="2293">
        <f>COUNTIF(C$15:C41,C41)</f>
        <v>2</v>
      </c>
      <c r="B41" s="2294" t="s">
        <v>704</v>
      </c>
      <c r="C41" s="2295" t="s">
        <v>705</v>
      </c>
      <c r="D41" s="2296" t="s">
        <v>1314</v>
      </c>
      <c r="E41" s="2297" t="s">
        <v>1315</v>
      </c>
      <c r="F41" s="2298">
        <v>27</v>
      </c>
      <c r="G41" s="2298" t="s">
        <v>2140</v>
      </c>
      <c r="H41" s="2299">
        <v>0.25</v>
      </c>
      <c r="I41" s="2300">
        <v>625223</v>
      </c>
      <c r="J41" s="2301">
        <v>360000</v>
      </c>
      <c r="K41" s="2301">
        <f t="shared" ref="K41:K47" si="1">ROUNDDOWN(J41*H41,0)</f>
        <v>90000</v>
      </c>
      <c r="L41" s="675"/>
    </row>
    <row r="42" spans="1:13" ht="26.65" customHeight="1">
      <c r="A42" s="2293">
        <f>COUNTIF(C$15:C42,C42)</f>
        <v>2</v>
      </c>
      <c r="B42" s="2294" t="s">
        <v>255</v>
      </c>
      <c r="C42" s="2295" t="s">
        <v>760</v>
      </c>
      <c r="D42" s="2296"/>
      <c r="E42" s="2297" t="s">
        <v>1329</v>
      </c>
      <c r="F42" s="2298" t="s">
        <v>2140</v>
      </c>
      <c r="G42" s="2298" t="s">
        <v>2139</v>
      </c>
      <c r="H42" s="2299">
        <v>0.25</v>
      </c>
      <c r="I42" s="2300">
        <v>77176</v>
      </c>
      <c r="J42" s="2301">
        <v>51960</v>
      </c>
      <c r="K42" s="2301">
        <f t="shared" si="1"/>
        <v>12990</v>
      </c>
      <c r="L42" s="675"/>
    </row>
    <row r="43" spans="1:13" ht="26.65" customHeight="1">
      <c r="A43" s="2293">
        <f>COUNTIF(C$15:C43,C43)</f>
        <v>4</v>
      </c>
      <c r="B43" s="2294" t="s">
        <v>711</v>
      </c>
      <c r="C43" s="2295" t="s">
        <v>712</v>
      </c>
      <c r="D43" s="2296"/>
      <c r="E43" s="2297" t="s">
        <v>1333</v>
      </c>
      <c r="F43" s="2298">
        <v>29</v>
      </c>
      <c r="G43" s="2298" t="s">
        <v>2383</v>
      </c>
      <c r="H43" s="2299">
        <v>0.25</v>
      </c>
      <c r="I43" s="2313">
        <f>136455+22627</f>
        <v>159082</v>
      </c>
      <c r="J43" s="2301">
        <f>120890+20000</f>
        <v>140890</v>
      </c>
      <c r="K43" s="2301">
        <f t="shared" si="1"/>
        <v>35222</v>
      </c>
      <c r="L43" s="675"/>
      <c r="M43" s="2285" t="s">
        <v>2389</v>
      </c>
    </row>
    <row r="44" spans="1:13" ht="26.65" customHeight="1">
      <c r="A44" s="2293">
        <f>COUNTIF(C$15:C44,C44)</f>
        <v>2</v>
      </c>
      <c r="B44" s="2294" t="s">
        <v>516</v>
      </c>
      <c r="C44" s="2295" t="s">
        <v>806</v>
      </c>
      <c r="D44" s="2296"/>
      <c r="E44" s="2297" t="s">
        <v>1333</v>
      </c>
      <c r="F44" s="2298" t="s">
        <v>2140</v>
      </c>
      <c r="G44" s="2298" t="s">
        <v>2384</v>
      </c>
      <c r="H44" s="2299">
        <v>0.25</v>
      </c>
      <c r="I44" s="2313">
        <v>91790</v>
      </c>
      <c r="J44" s="2301">
        <v>74353</v>
      </c>
      <c r="K44" s="2301">
        <f t="shared" si="1"/>
        <v>18588</v>
      </c>
      <c r="L44" s="675"/>
    </row>
    <row r="45" spans="1:13" ht="26.65" customHeight="1">
      <c r="A45" s="2293">
        <f>COUNTIF(C$15:C45,C45)</f>
        <v>5</v>
      </c>
      <c r="B45" s="2294" t="s">
        <v>711</v>
      </c>
      <c r="C45" s="2295" t="s">
        <v>712</v>
      </c>
      <c r="D45" s="2296"/>
      <c r="E45" s="2297" t="s">
        <v>1335</v>
      </c>
      <c r="F45" s="2298">
        <v>29</v>
      </c>
      <c r="G45" s="2298" t="s">
        <v>2143</v>
      </c>
      <c r="H45" s="2299">
        <v>0.25</v>
      </c>
      <c r="I45" s="2314">
        <v>147885</v>
      </c>
      <c r="J45" s="2301">
        <v>47734</v>
      </c>
      <c r="K45" s="2301">
        <f t="shared" si="1"/>
        <v>11933</v>
      </c>
      <c r="L45" s="675"/>
    </row>
    <row r="46" spans="1:13" ht="26.65" customHeight="1">
      <c r="A46" s="2293">
        <f>COUNTIF(C$15:C46,C46)</f>
        <v>3</v>
      </c>
      <c r="B46" s="2294" t="s">
        <v>704</v>
      </c>
      <c r="C46" s="2295" t="s">
        <v>705</v>
      </c>
      <c r="D46" s="2296"/>
      <c r="E46" s="2297" t="s">
        <v>2385</v>
      </c>
      <c r="F46" s="2298">
        <v>29</v>
      </c>
      <c r="G46" s="2298" t="s">
        <v>2142</v>
      </c>
      <c r="H46" s="2299">
        <v>0.33333333333333331</v>
      </c>
      <c r="I46" s="2300">
        <v>118558</v>
      </c>
      <c r="J46" s="2301">
        <v>100000</v>
      </c>
      <c r="K46" s="2301">
        <f t="shared" si="1"/>
        <v>33333</v>
      </c>
      <c r="L46" s="675"/>
    </row>
    <row r="47" spans="1:13" ht="26.25" customHeight="1">
      <c r="A47" s="2293">
        <f>COUNTIF(C$15:C47,C47)</f>
        <v>3</v>
      </c>
      <c r="B47" s="2294" t="s">
        <v>255</v>
      </c>
      <c r="C47" s="2295" t="s">
        <v>760</v>
      </c>
      <c r="D47" s="2296"/>
      <c r="E47" s="2297" t="s">
        <v>2385</v>
      </c>
      <c r="F47" s="2298">
        <v>29</v>
      </c>
      <c r="G47" s="2298" t="s">
        <v>2141</v>
      </c>
      <c r="H47" s="2299">
        <v>0.33333333333333331</v>
      </c>
      <c r="I47" s="2300">
        <v>77836</v>
      </c>
      <c r="J47" s="2301">
        <v>39600</v>
      </c>
      <c r="K47" s="2301">
        <f t="shared" si="1"/>
        <v>13200</v>
      </c>
      <c r="L47" s="675"/>
    </row>
    <row r="48" spans="1:13" ht="25.5" customHeight="1">
      <c r="B48" s="2302" t="s">
        <v>34</v>
      </c>
      <c r="C48" s="676" t="s">
        <v>2390</v>
      </c>
      <c r="D48" s="2303"/>
      <c r="E48" s="2304">
        <f>COUNTA(E41:E47)</f>
        <v>7</v>
      </c>
      <c r="F48" s="2305"/>
      <c r="G48" s="2305"/>
      <c r="H48" s="2303"/>
      <c r="I48" s="2306">
        <f>SUM(I41:I47)</f>
        <v>1297550</v>
      </c>
      <c r="J48" s="2306">
        <f>SUM(J41:J47)</f>
        <v>814537</v>
      </c>
      <c r="K48" s="2306">
        <f>SUM(K41:K47)</f>
        <v>215266</v>
      </c>
      <c r="L48" s="2306">
        <f>SUM(L41:L47)</f>
        <v>0</v>
      </c>
    </row>
  </sheetData>
  <mergeCells count="14">
    <mergeCell ref="I4:L4"/>
    <mergeCell ref="B13:B14"/>
    <mergeCell ref="C13:C14"/>
    <mergeCell ref="D13:D14"/>
    <mergeCell ref="E13:E14"/>
    <mergeCell ref="F13:G13"/>
    <mergeCell ref="H13:H14"/>
    <mergeCell ref="I13:L13"/>
    <mergeCell ref="B4:B5"/>
    <mergeCell ref="C4:C5"/>
    <mergeCell ref="D4:D5"/>
    <mergeCell ref="E4:E5"/>
    <mergeCell ref="F4:G4"/>
    <mergeCell ref="H4:H5"/>
  </mergeCells>
  <phoneticPr fontId="6"/>
  <printOptions horizontalCentered="1"/>
  <pageMargins left="0.70866141732283472" right="0.51181102362204722" top="0.39370078740157483" bottom="0.55118110236220474" header="0.31496062992125984" footer="0.31496062992125984"/>
  <pageSetup paperSize="9" scale="6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BB0D3D-3CCE-4491-BF9B-B38D7BD0E05C}">
  <dimension ref="A1:S61"/>
  <sheetViews>
    <sheetView view="pageBreakPreview" zoomScaleNormal="75" zoomScaleSheetLayoutView="100" workbookViewId="0">
      <pane ySplit="7" topLeftCell="A8" activePane="bottomLeft" state="frozen"/>
      <selection pane="bottomLeft"/>
    </sheetView>
  </sheetViews>
  <sheetFormatPr defaultColWidth="10" defaultRowHeight="18" customHeight="1"/>
  <cols>
    <col min="1" max="1" width="3.6328125" style="2371" customWidth="1"/>
    <col min="2" max="3" width="3.6328125" style="2321" customWidth="1"/>
    <col min="4" max="5" width="8.6328125" style="2321" customWidth="1"/>
    <col min="6" max="7" width="3.6328125" style="2321" customWidth="1"/>
    <col min="8" max="9" width="8.6328125" style="2321" customWidth="1"/>
    <col min="10" max="11" width="3.6328125" style="2321" customWidth="1"/>
    <col min="12" max="13" width="8.6328125" style="2321" customWidth="1"/>
    <col min="14" max="15" width="3.6328125" style="2321" customWidth="1"/>
    <col min="16" max="17" width="8.6328125" style="2321" customWidth="1"/>
    <col min="18" max="256" width="10" style="2321"/>
    <col min="257" max="259" width="3.6328125" style="2321" customWidth="1"/>
    <col min="260" max="261" width="8.6328125" style="2321" customWidth="1"/>
    <col min="262" max="263" width="3.6328125" style="2321" customWidth="1"/>
    <col min="264" max="265" width="8.6328125" style="2321" customWidth="1"/>
    <col min="266" max="267" width="3.6328125" style="2321" customWidth="1"/>
    <col min="268" max="269" width="8.6328125" style="2321" customWidth="1"/>
    <col min="270" max="271" width="3.6328125" style="2321" customWidth="1"/>
    <col min="272" max="273" width="8.6328125" style="2321" customWidth="1"/>
    <col min="274" max="512" width="10" style="2321"/>
    <col min="513" max="515" width="3.6328125" style="2321" customWidth="1"/>
    <col min="516" max="517" width="8.6328125" style="2321" customWidth="1"/>
    <col min="518" max="519" width="3.6328125" style="2321" customWidth="1"/>
    <col min="520" max="521" width="8.6328125" style="2321" customWidth="1"/>
    <col min="522" max="523" width="3.6328125" style="2321" customWidth="1"/>
    <col min="524" max="525" width="8.6328125" style="2321" customWidth="1"/>
    <col min="526" max="527" width="3.6328125" style="2321" customWidth="1"/>
    <col min="528" max="529" width="8.6328125" style="2321" customWidth="1"/>
    <col min="530" max="768" width="10" style="2321"/>
    <col min="769" max="771" width="3.6328125" style="2321" customWidth="1"/>
    <col min="772" max="773" width="8.6328125" style="2321" customWidth="1"/>
    <col min="774" max="775" width="3.6328125" style="2321" customWidth="1"/>
    <col min="776" max="777" width="8.6328125" style="2321" customWidth="1"/>
    <col min="778" max="779" width="3.6328125" style="2321" customWidth="1"/>
    <col min="780" max="781" width="8.6328125" style="2321" customWidth="1"/>
    <col min="782" max="783" width="3.6328125" style="2321" customWidth="1"/>
    <col min="784" max="785" width="8.6328125" style="2321" customWidth="1"/>
    <col min="786" max="1024" width="10" style="2321"/>
    <col min="1025" max="1027" width="3.6328125" style="2321" customWidth="1"/>
    <col min="1028" max="1029" width="8.6328125" style="2321" customWidth="1"/>
    <col min="1030" max="1031" width="3.6328125" style="2321" customWidth="1"/>
    <col min="1032" max="1033" width="8.6328125" style="2321" customWidth="1"/>
    <col min="1034" max="1035" width="3.6328125" style="2321" customWidth="1"/>
    <col min="1036" max="1037" width="8.6328125" style="2321" customWidth="1"/>
    <col min="1038" max="1039" width="3.6328125" style="2321" customWidth="1"/>
    <col min="1040" max="1041" width="8.6328125" style="2321" customWidth="1"/>
    <col min="1042" max="1280" width="10" style="2321"/>
    <col min="1281" max="1283" width="3.6328125" style="2321" customWidth="1"/>
    <col min="1284" max="1285" width="8.6328125" style="2321" customWidth="1"/>
    <col min="1286" max="1287" width="3.6328125" style="2321" customWidth="1"/>
    <col min="1288" max="1289" width="8.6328125" style="2321" customWidth="1"/>
    <col min="1290" max="1291" width="3.6328125" style="2321" customWidth="1"/>
    <col min="1292" max="1293" width="8.6328125" style="2321" customWidth="1"/>
    <col min="1294" max="1295" width="3.6328125" style="2321" customWidth="1"/>
    <col min="1296" max="1297" width="8.6328125" style="2321" customWidth="1"/>
    <col min="1298" max="1536" width="10" style="2321"/>
    <col min="1537" max="1539" width="3.6328125" style="2321" customWidth="1"/>
    <col min="1540" max="1541" width="8.6328125" style="2321" customWidth="1"/>
    <col min="1542" max="1543" width="3.6328125" style="2321" customWidth="1"/>
    <col min="1544" max="1545" width="8.6328125" style="2321" customWidth="1"/>
    <col min="1546" max="1547" width="3.6328125" style="2321" customWidth="1"/>
    <col min="1548" max="1549" width="8.6328125" style="2321" customWidth="1"/>
    <col min="1550" max="1551" width="3.6328125" style="2321" customWidth="1"/>
    <col min="1552" max="1553" width="8.6328125" style="2321" customWidth="1"/>
    <col min="1554" max="1792" width="10" style="2321"/>
    <col min="1793" max="1795" width="3.6328125" style="2321" customWidth="1"/>
    <col min="1796" max="1797" width="8.6328125" style="2321" customWidth="1"/>
    <col min="1798" max="1799" width="3.6328125" style="2321" customWidth="1"/>
    <col min="1800" max="1801" width="8.6328125" style="2321" customWidth="1"/>
    <col min="1802" max="1803" width="3.6328125" style="2321" customWidth="1"/>
    <col min="1804" max="1805" width="8.6328125" style="2321" customWidth="1"/>
    <col min="1806" max="1807" width="3.6328125" style="2321" customWidth="1"/>
    <col min="1808" max="1809" width="8.6328125" style="2321" customWidth="1"/>
    <col min="1810" max="2048" width="10" style="2321"/>
    <col min="2049" max="2051" width="3.6328125" style="2321" customWidth="1"/>
    <col min="2052" max="2053" width="8.6328125" style="2321" customWidth="1"/>
    <col min="2054" max="2055" width="3.6328125" style="2321" customWidth="1"/>
    <col min="2056" max="2057" width="8.6328125" style="2321" customWidth="1"/>
    <col min="2058" max="2059" width="3.6328125" style="2321" customWidth="1"/>
    <col min="2060" max="2061" width="8.6328125" style="2321" customWidth="1"/>
    <col min="2062" max="2063" width="3.6328125" style="2321" customWidth="1"/>
    <col min="2064" max="2065" width="8.6328125" style="2321" customWidth="1"/>
    <col min="2066" max="2304" width="10" style="2321"/>
    <col min="2305" max="2307" width="3.6328125" style="2321" customWidth="1"/>
    <col min="2308" max="2309" width="8.6328125" style="2321" customWidth="1"/>
    <col min="2310" max="2311" width="3.6328125" style="2321" customWidth="1"/>
    <col min="2312" max="2313" width="8.6328125" style="2321" customWidth="1"/>
    <col min="2314" max="2315" width="3.6328125" style="2321" customWidth="1"/>
    <col min="2316" max="2317" width="8.6328125" style="2321" customWidth="1"/>
    <col min="2318" max="2319" width="3.6328125" style="2321" customWidth="1"/>
    <col min="2320" max="2321" width="8.6328125" style="2321" customWidth="1"/>
    <col min="2322" max="2560" width="10" style="2321"/>
    <col min="2561" max="2563" width="3.6328125" style="2321" customWidth="1"/>
    <col min="2564" max="2565" width="8.6328125" style="2321" customWidth="1"/>
    <col min="2566" max="2567" width="3.6328125" style="2321" customWidth="1"/>
    <col min="2568" max="2569" width="8.6328125" style="2321" customWidth="1"/>
    <col min="2570" max="2571" width="3.6328125" style="2321" customWidth="1"/>
    <col min="2572" max="2573" width="8.6328125" style="2321" customWidth="1"/>
    <col min="2574" max="2575" width="3.6328125" style="2321" customWidth="1"/>
    <col min="2576" max="2577" width="8.6328125" style="2321" customWidth="1"/>
    <col min="2578" max="2816" width="10" style="2321"/>
    <col min="2817" max="2819" width="3.6328125" style="2321" customWidth="1"/>
    <col min="2820" max="2821" width="8.6328125" style="2321" customWidth="1"/>
    <col min="2822" max="2823" width="3.6328125" style="2321" customWidth="1"/>
    <col min="2824" max="2825" width="8.6328125" style="2321" customWidth="1"/>
    <col min="2826" max="2827" width="3.6328125" style="2321" customWidth="1"/>
    <col min="2828" max="2829" width="8.6328125" style="2321" customWidth="1"/>
    <col min="2830" max="2831" width="3.6328125" style="2321" customWidth="1"/>
    <col min="2832" max="2833" width="8.6328125" style="2321" customWidth="1"/>
    <col min="2834" max="3072" width="10" style="2321"/>
    <col min="3073" max="3075" width="3.6328125" style="2321" customWidth="1"/>
    <col min="3076" max="3077" width="8.6328125" style="2321" customWidth="1"/>
    <col min="3078" max="3079" width="3.6328125" style="2321" customWidth="1"/>
    <col min="3080" max="3081" width="8.6328125" style="2321" customWidth="1"/>
    <col min="3082" max="3083" width="3.6328125" style="2321" customWidth="1"/>
    <col min="3084" max="3085" width="8.6328125" style="2321" customWidth="1"/>
    <col min="3086" max="3087" width="3.6328125" style="2321" customWidth="1"/>
    <col min="3088" max="3089" width="8.6328125" style="2321" customWidth="1"/>
    <col min="3090" max="3328" width="10" style="2321"/>
    <col min="3329" max="3331" width="3.6328125" style="2321" customWidth="1"/>
    <col min="3332" max="3333" width="8.6328125" style="2321" customWidth="1"/>
    <col min="3334" max="3335" width="3.6328125" style="2321" customWidth="1"/>
    <col min="3336" max="3337" width="8.6328125" style="2321" customWidth="1"/>
    <col min="3338" max="3339" width="3.6328125" style="2321" customWidth="1"/>
    <col min="3340" max="3341" width="8.6328125" style="2321" customWidth="1"/>
    <col min="3342" max="3343" width="3.6328125" style="2321" customWidth="1"/>
    <col min="3344" max="3345" width="8.6328125" style="2321" customWidth="1"/>
    <col min="3346" max="3584" width="10" style="2321"/>
    <col min="3585" max="3587" width="3.6328125" style="2321" customWidth="1"/>
    <col min="3588" max="3589" width="8.6328125" style="2321" customWidth="1"/>
    <col min="3590" max="3591" width="3.6328125" style="2321" customWidth="1"/>
    <col min="3592" max="3593" width="8.6328125" style="2321" customWidth="1"/>
    <col min="3594" max="3595" width="3.6328125" style="2321" customWidth="1"/>
    <col min="3596" max="3597" width="8.6328125" style="2321" customWidth="1"/>
    <col min="3598" max="3599" width="3.6328125" style="2321" customWidth="1"/>
    <col min="3600" max="3601" width="8.6328125" style="2321" customWidth="1"/>
    <col min="3602" max="3840" width="10" style="2321"/>
    <col min="3841" max="3843" width="3.6328125" style="2321" customWidth="1"/>
    <col min="3844" max="3845" width="8.6328125" style="2321" customWidth="1"/>
    <col min="3846" max="3847" width="3.6328125" style="2321" customWidth="1"/>
    <col min="3848" max="3849" width="8.6328125" style="2321" customWidth="1"/>
    <col min="3850" max="3851" width="3.6328125" style="2321" customWidth="1"/>
    <col min="3852" max="3853" width="8.6328125" style="2321" customWidth="1"/>
    <col min="3854" max="3855" width="3.6328125" style="2321" customWidth="1"/>
    <col min="3856" max="3857" width="8.6328125" style="2321" customWidth="1"/>
    <col min="3858" max="4096" width="10" style="2321"/>
    <col min="4097" max="4099" width="3.6328125" style="2321" customWidth="1"/>
    <col min="4100" max="4101" width="8.6328125" style="2321" customWidth="1"/>
    <col min="4102" max="4103" width="3.6328125" style="2321" customWidth="1"/>
    <col min="4104" max="4105" width="8.6328125" style="2321" customWidth="1"/>
    <col min="4106" max="4107" width="3.6328125" style="2321" customWidth="1"/>
    <col min="4108" max="4109" width="8.6328125" style="2321" customWidth="1"/>
    <col min="4110" max="4111" width="3.6328125" style="2321" customWidth="1"/>
    <col min="4112" max="4113" width="8.6328125" style="2321" customWidth="1"/>
    <col min="4114" max="4352" width="10" style="2321"/>
    <col min="4353" max="4355" width="3.6328125" style="2321" customWidth="1"/>
    <col min="4356" max="4357" width="8.6328125" style="2321" customWidth="1"/>
    <col min="4358" max="4359" width="3.6328125" style="2321" customWidth="1"/>
    <col min="4360" max="4361" width="8.6328125" style="2321" customWidth="1"/>
    <col min="4362" max="4363" width="3.6328125" style="2321" customWidth="1"/>
    <col min="4364" max="4365" width="8.6328125" style="2321" customWidth="1"/>
    <col min="4366" max="4367" width="3.6328125" style="2321" customWidth="1"/>
    <col min="4368" max="4369" width="8.6328125" style="2321" customWidth="1"/>
    <col min="4370" max="4608" width="10" style="2321"/>
    <col min="4609" max="4611" width="3.6328125" style="2321" customWidth="1"/>
    <col min="4612" max="4613" width="8.6328125" style="2321" customWidth="1"/>
    <col min="4614" max="4615" width="3.6328125" style="2321" customWidth="1"/>
    <col min="4616" max="4617" width="8.6328125" style="2321" customWidth="1"/>
    <col min="4618" max="4619" width="3.6328125" style="2321" customWidth="1"/>
    <col min="4620" max="4621" width="8.6328125" style="2321" customWidth="1"/>
    <col min="4622" max="4623" width="3.6328125" style="2321" customWidth="1"/>
    <col min="4624" max="4625" width="8.6328125" style="2321" customWidth="1"/>
    <col min="4626" max="4864" width="10" style="2321"/>
    <col min="4865" max="4867" width="3.6328125" style="2321" customWidth="1"/>
    <col min="4868" max="4869" width="8.6328125" style="2321" customWidth="1"/>
    <col min="4870" max="4871" width="3.6328125" style="2321" customWidth="1"/>
    <col min="4872" max="4873" width="8.6328125" style="2321" customWidth="1"/>
    <col min="4874" max="4875" width="3.6328125" style="2321" customWidth="1"/>
    <col min="4876" max="4877" width="8.6328125" style="2321" customWidth="1"/>
    <col min="4878" max="4879" width="3.6328125" style="2321" customWidth="1"/>
    <col min="4880" max="4881" width="8.6328125" style="2321" customWidth="1"/>
    <col min="4882" max="5120" width="10" style="2321"/>
    <col min="5121" max="5123" width="3.6328125" style="2321" customWidth="1"/>
    <col min="5124" max="5125" width="8.6328125" style="2321" customWidth="1"/>
    <col min="5126" max="5127" width="3.6328125" style="2321" customWidth="1"/>
    <col min="5128" max="5129" width="8.6328125" style="2321" customWidth="1"/>
    <col min="5130" max="5131" width="3.6328125" style="2321" customWidth="1"/>
    <col min="5132" max="5133" width="8.6328125" style="2321" customWidth="1"/>
    <col min="5134" max="5135" width="3.6328125" style="2321" customWidth="1"/>
    <col min="5136" max="5137" width="8.6328125" style="2321" customWidth="1"/>
    <col min="5138" max="5376" width="10" style="2321"/>
    <col min="5377" max="5379" width="3.6328125" style="2321" customWidth="1"/>
    <col min="5380" max="5381" width="8.6328125" style="2321" customWidth="1"/>
    <col min="5382" max="5383" width="3.6328125" style="2321" customWidth="1"/>
    <col min="5384" max="5385" width="8.6328125" style="2321" customWidth="1"/>
    <col min="5386" max="5387" width="3.6328125" style="2321" customWidth="1"/>
    <col min="5388" max="5389" width="8.6328125" style="2321" customWidth="1"/>
    <col min="5390" max="5391" width="3.6328125" style="2321" customWidth="1"/>
    <col min="5392" max="5393" width="8.6328125" style="2321" customWidth="1"/>
    <col min="5394" max="5632" width="10" style="2321"/>
    <col min="5633" max="5635" width="3.6328125" style="2321" customWidth="1"/>
    <col min="5636" max="5637" width="8.6328125" style="2321" customWidth="1"/>
    <col min="5638" max="5639" width="3.6328125" style="2321" customWidth="1"/>
    <col min="5640" max="5641" width="8.6328125" style="2321" customWidth="1"/>
    <col min="5642" max="5643" width="3.6328125" style="2321" customWidth="1"/>
    <col min="5644" max="5645" width="8.6328125" style="2321" customWidth="1"/>
    <col min="5646" max="5647" width="3.6328125" style="2321" customWidth="1"/>
    <col min="5648" max="5649" width="8.6328125" style="2321" customWidth="1"/>
    <col min="5650" max="5888" width="10" style="2321"/>
    <col min="5889" max="5891" width="3.6328125" style="2321" customWidth="1"/>
    <col min="5892" max="5893" width="8.6328125" style="2321" customWidth="1"/>
    <col min="5894" max="5895" width="3.6328125" style="2321" customWidth="1"/>
    <col min="5896" max="5897" width="8.6328125" style="2321" customWidth="1"/>
    <col min="5898" max="5899" width="3.6328125" style="2321" customWidth="1"/>
    <col min="5900" max="5901" width="8.6328125" style="2321" customWidth="1"/>
    <col min="5902" max="5903" width="3.6328125" style="2321" customWidth="1"/>
    <col min="5904" max="5905" width="8.6328125" style="2321" customWidth="1"/>
    <col min="5906" max="6144" width="10" style="2321"/>
    <col min="6145" max="6147" width="3.6328125" style="2321" customWidth="1"/>
    <col min="6148" max="6149" width="8.6328125" style="2321" customWidth="1"/>
    <col min="6150" max="6151" width="3.6328125" style="2321" customWidth="1"/>
    <col min="6152" max="6153" width="8.6328125" style="2321" customWidth="1"/>
    <col min="6154" max="6155" width="3.6328125" style="2321" customWidth="1"/>
    <col min="6156" max="6157" width="8.6328125" style="2321" customWidth="1"/>
    <col min="6158" max="6159" width="3.6328125" style="2321" customWidth="1"/>
    <col min="6160" max="6161" width="8.6328125" style="2321" customWidth="1"/>
    <col min="6162" max="6400" width="10" style="2321"/>
    <col min="6401" max="6403" width="3.6328125" style="2321" customWidth="1"/>
    <col min="6404" max="6405" width="8.6328125" style="2321" customWidth="1"/>
    <col min="6406" max="6407" width="3.6328125" style="2321" customWidth="1"/>
    <col min="6408" max="6409" width="8.6328125" style="2321" customWidth="1"/>
    <col min="6410" max="6411" width="3.6328125" style="2321" customWidth="1"/>
    <col min="6412" max="6413" width="8.6328125" style="2321" customWidth="1"/>
    <col min="6414" max="6415" width="3.6328125" style="2321" customWidth="1"/>
    <col min="6416" max="6417" width="8.6328125" style="2321" customWidth="1"/>
    <col min="6418" max="6656" width="10" style="2321"/>
    <col min="6657" max="6659" width="3.6328125" style="2321" customWidth="1"/>
    <col min="6660" max="6661" width="8.6328125" style="2321" customWidth="1"/>
    <col min="6662" max="6663" width="3.6328125" style="2321" customWidth="1"/>
    <col min="6664" max="6665" width="8.6328125" style="2321" customWidth="1"/>
    <col min="6666" max="6667" width="3.6328125" style="2321" customWidth="1"/>
    <col min="6668" max="6669" width="8.6328125" style="2321" customWidth="1"/>
    <col min="6670" max="6671" width="3.6328125" style="2321" customWidth="1"/>
    <col min="6672" max="6673" width="8.6328125" style="2321" customWidth="1"/>
    <col min="6674" max="6912" width="10" style="2321"/>
    <col min="6913" max="6915" width="3.6328125" style="2321" customWidth="1"/>
    <col min="6916" max="6917" width="8.6328125" style="2321" customWidth="1"/>
    <col min="6918" max="6919" width="3.6328125" style="2321" customWidth="1"/>
    <col min="6920" max="6921" width="8.6328125" style="2321" customWidth="1"/>
    <col min="6922" max="6923" width="3.6328125" style="2321" customWidth="1"/>
    <col min="6924" max="6925" width="8.6328125" style="2321" customWidth="1"/>
    <col min="6926" max="6927" width="3.6328125" style="2321" customWidth="1"/>
    <col min="6928" max="6929" width="8.6328125" style="2321" customWidth="1"/>
    <col min="6930" max="7168" width="10" style="2321"/>
    <col min="7169" max="7171" width="3.6328125" style="2321" customWidth="1"/>
    <col min="7172" max="7173" width="8.6328125" style="2321" customWidth="1"/>
    <col min="7174" max="7175" width="3.6328125" style="2321" customWidth="1"/>
    <col min="7176" max="7177" width="8.6328125" style="2321" customWidth="1"/>
    <col min="7178" max="7179" width="3.6328125" style="2321" customWidth="1"/>
    <col min="7180" max="7181" width="8.6328125" style="2321" customWidth="1"/>
    <col min="7182" max="7183" width="3.6328125" style="2321" customWidth="1"/>
    <col min="7184" max="7185" width="8.6328125" style="2321" customWidth="1"/>
    <col min="7186" max="7424" width="10" style="2321"/>
    <col min="7425" max="7427" width="3.6328125" style="2321" customWidth="1"/>
    <col min="7428" max="7429" width="8.6328125" style="2321" customWidth="1"/>
    <col min="7430" max="7431" width="3.6328125" style="2321" customWidth="1"/>
    <col min="7432" max="7433" width="8.6328125" style="2321" customWidth="1"/>
    <col min="7434" max="7435" width="3.6328125" style="2321" customWidth="1"/>
    <col min="7436" max="7437" width="8.6328125" style="2321" customWidth="1"/>
    <col min="7438" max="7439" width="3.6328125" style="2321" customWidth="1"/>
    <col min="7440" max="7441" width="8.6328125" style="2321" customWidth="1"/>
    <col min="7442" max="7680" width="10" style="2321"/>
    <col min="7681" max="7683" width="3.6328125" style="2321" customWidth="1"/>
    <col min="7684" max="7685" width="8.6328125" style="2321" customWidth="1"/>
    <col min="7686" max="7687" width="3.6328125" style="2321" customWidth="1"/>
    <col min="7688" max="7689" width="8.6328125" style="2321" customWidth="1"/>
    <col min="7690" max="7691" width="3.6328125" style="2321" customWidth="1"/>
    <col min="7692" max="7693" width="8.6328125" style="2321" customWidth="1"/>
    <col min="7694" max="7695" width="3.6328125" style="2321" customWidth="1"/>
    <col min="7696" max="7697" width="8.6328125" style="2321" customWidth="1"/>
    <col min="7698" max="7936" width="10" style="2321"/>
    <col min="7937" max="7939" width="3.6328125" style="2321" customWidth="1"/>
    <col min="7940" max="7941" width="8.6328125" style="2321" customWidth="1"/>
    <col min="7942" max="7943" width="3.6328125" style="2321" customWidth="1"/>
    <col min="7944" max="7945" width="8.6328125" style="2321" customWidth="1"/>
    <col min="7946" max="7947" width="3.6328125" style="2321" customWidth="1"/>
    <col min="7948" max="7949" width="8.6328125" style="2321" customWidth="1"/>
    <col min="7950" max="7951" width="3.6328125" style="2321" customWidth="1"/>
    <col min="7952" max="7953" width="8.6328125" style="2321" customWidth="1"/>
    <col min="7954" max="8192" width="10" style="2321"/>
    <col min="8193" max="8195" width="3.6328125" style="2321" customWidth="1"/>
    <col min="8196" max="8197" width="8.6328125" style="2321" customWidth="1"/>
    <col min="8198" max="8199" width="3.6328125" style="2321" customWidth="1"/>
    <col min="8200" max="8201" width="8.6328125" style="2321" customWidth="1"/>
    <col min="8202" max="8203" width="3.6328125" style="2321" customWidth="1"/>
    <col min="8204" max="8205" width="8.6328125" style="2321" customWidth="1"/>
    <col min="8206" max="8207" width="3.6328125" style="2321" customWidth="1"/>
    <col min="8208" max="8209" width="8.6328125" style="2321" customWidth="1"/>
    <col min="8210" max="8448" width="10" style="2321"/>
    <col min="8449" max="8451" width="3.6328125" style="2321" customWidth="1"/>
    <col min="8452" max="8453" width="8.6328125" style="2321" customWidth="1"/>
    <col min="8454" max="8455" width="3.6328125" style="2321" customWidth="1"/>
    <col min="8456" max="8457" width="8.6328125" style="2321" customWidth="1"/>
    <col min="8458" max="8459" width="3.6328125" style="2321" customWidth="1"/>
    <col min="8460" max="8461" width="8.6328125" style="2321" customWidth="1"/>
    <col min="8462" max="8463" width="3.6328125" style="2321" customWidth="1"/>
    <col min="8464" max="8465" width="8.6328125" style="2321" customWidth="1"/>
    <col min="8466" max="8704" width="10" style="2321"/>
    <col min="8705" max="8707" width="3.6328125" style="2321" customWidth="1"/>
    <col min="8708" max="8709" width="8.6328125" style="2321" customWidth="1"/>
    <col min="8710" max="8711" width="3.6328125" style="2321" customWidth="1"/>
    <col min="8712" max="8713" width="8.6328125" style="2321" customWidth="1"/>
    <col min="8714" max="8715" width="3.6328125" style="2321" customWidth="1"/>
    <col min="8716" max="8717" width="8.6328125" style="2321" customWidth="1"/>
    <col min="8718" max="8719" width="3.6328125" style="2321" customWidth="1"/>
    <col min="8720" max="8721" width="8.6328125" style="2321" customWidth="1"/>
    <col min="8722" max="8960" width="10" style="2321"/>
    <col min="8961" max="8963" width="3.6328125" style="2321" customWidth="1"/>
    <col min="8964" max="8965" width="8.6328125" style="2321" customWidth="1"/>
    <col min="8966" max="8967" width="3.6328125" style="2321" customWidth="1"/>
    <col min="8968" max="8969" width="8.6328125" style="2321" customWidth="1"/>
    <col min="8970" max="8971" width="3.6328125" style="2321" customWidth="1"/>
    <col min="8972" max="8973" width="8.6328125" style="2321" customWidth="1"/>
    <col min="8974" max="8975" width="3.6328125" style="2321" customWidth="1"/>
    <col min="8976" max="8977" width="8.6328125" style="2321" customWidth="1"/>
    <col min="8978" max="9216" width="10" style="2321"/>
    <col min="9217" max="9219" width="3.6328125" style="2321" customWidth="1"/>
    <col min="9220" max="9221" width="8.6328125" style="2321" customWidth="1"/>
    <col min="9222" max="9223" width="3.6328125" style="2321" customWidth="1"/>
    <col min="9224" max="9225" width="8.6328125" style="2321" customWidth="1"/>
    <col min="9226" max="9227" width="3.6328125" style="2321" customWidth="1"/>
    <col min="9228" max="9229" width="8.6328125" style="2321" customWidth="1"/>
    <col min="9230" max="9231" width="3.6328125" style="2321" customWidth="1"/>
    <col min="9232" max="9233" width="8.6328125" style="2321" customWidth="1"/>
    <col min="9234" max="9472" width="10" style="2321"/>
    <col min="9473" max="9475" width="3.6328125" style="2321" customWidth="1"/>
    <col min="9476" max="9477" width="8.6328125" style="2321" customWidth="1"/>
    <col min="9478" max="9479" width="3.6328125" style="2321" customWidth="1"/>
    <col min="9480" max="9481" width="8.6328125" style="2321" customWidth="1"/>
    <col min="9482" max="9483" width="3.6328125" style="2321" customWidth="1"/>
    <col min="9484" max="9485" width="8.6328125" style="2321" customWidth="1"/>
    <col min="9486" max="9487" width="3.6328125" style="2321" customWidth="1"/>
    <col min="9488" max="9489" width="8.6328125" style="2321" customWidth="1"/>
    <col min="9490" max="9728" width="10" style="2321"/>
    <col min="9729" max="9731" width="3.6328125" style="2321" customWidth="1"/>
    <col min="9732" max="9733" width="8.6328125" style="2321" customWidth="1"/>
    <col min="9734" max="9735" width="3.6328125" style="2321" customWidth="1"/>
    <col min="9736" max="9737" width="8.6328125" style="2321" customWidth="1"/>
    <col min="9738" max="9739" width="3.6328125" style="2321" customWidth="1"/>
    <col min="9740" max="9741" width="8.6328125" style="2321" customWidth="1"/>
    <col min="9742" max="9743" width="3.6328125" style="2321" customWidth="1"/>
    <col min="9744" max="9745" width="8.6328125" style="2321" customWidth="1"/>
    <col min="9746" max="9984" width="10" style="2321"/>
    <col min="9985" max="9987" width="3.6328125" style="2321" customWidth="1"/>
    <col min="9988" max="9989" width="8.6328125" style="2321" customWidth="1"/>
    <col min="9990" max="9991" width="3.6328125" style="2321" customWidth="1"/>
    <col min="9992" max="9993" width="8.6328125" style="2321" customWidth="1"/>
    <col min="9994" max="9995" width="3.6328125" style="2321" customWidth="1"/>
    <col min="9996" max="9997" width="8.6328125" style="2321" customWidth="1"/>
    <col min="9998" max="9999" width="3.6328125" style="2321" customWidth="1"/>
    <col min="10000" max="10001" width="8.6328125" style="2321" customWidth="1"/>
    <col min="10002" max="10240" width="10" style="2321"/>
    <col min="10241" max="10243" width="3.6328125" style="2321" customWidth="1"/>
    <col min="10244" max="10245" width="8.6328125" style="2321" customWidth="1"/>
    <col min="10246" max="10247" width="3.6328125" style="2321" customWidth="1"/>
    <col min="10248" max="10249" width="8.6328125" style="2321" customWidth="1"/>
    <col min="10250" max="10251" width="3.6328125" style="2321" customWidth="1"/>
    <col min="10252" max="10253" width="8.6328125" style="2321" customWidth="1"/>
    <col min="10254" max="10255" width="3.6328125" style="2321" customWidth="1"/>
    <col min="10256" max="10257" width="8.6328125" style="2321" customWidth="1"/>
    <col min="10258" max="10496" width="10" style="2321"/>
    <col min="10497" max="10499" width="3.6328125" style="2321" customWidth="1"/>
    <col min="10500" max="10501" width="8.6328125" style="2321" customWidth="1"/>
    <col min="10502" max="10503" width="3.6328125" style="2321" customWidth="1"/>
    <col min="10504" max="10505" width="8.6328125" style="2321" customWidth="1"/>
    <col min="10506" max="10507" width="3.6328125" style="2321" customWidth="1"/>
    <col min="10508" max="10509" width="8.6328125" style="2321" customWidth="1"/>
    <col min="10510" max="10511" width="3.6328125" style="2321" customWidth="1"/>
    <col min="10512" max="10513" width="8.6328125" style="2321" customWidth="1"/>
    <col min="10514" max="10752" width="10" style="2321"/>
    <col min="10753" max="10755" width="3.6328125" style="2321" customWidth="1"/>
    <col min="10756" max="10757" width="8.6328125" style="2321" customWidth="1"/>
    <col min="10758" max="10759" width="3.6328125" style="2321" customWidth="1"/>
    <col min="10760" max="10761" width="8.6328125" style="2321" customWidth="1"/>
    <col min="10762" max="10763" width="3.6328125" style="2321" customWidth="1"/>
    <col min="10764" max="10765" width="8.6328125" style="2321" customWidth="1"/>
    <col min="10766" max="10767" width="3.6328125" style="2321" customWidth="1"/>
    <col min="10768" max="10769" width="8.6328125" style="2321" customWidth="1"/>
    <col min="10770" max="11008" width="10" style="2321"/>
    <col min="11009" max="11011" width="3.6328125" style="2321" customWidth="1"/>
    <col min="11012" max="11013" width="8.6328125" style="2321" customWidth="1"/>
    <col min="11014" max="11015" width="3.6328125" style="2321" customWidth="1"/>
    <col min="11016" max="11017" width="8.6328125" style="2321" customWidth="1"/>
    <col min="11018" max="11019" width="3.6328125" style="2321" customWidth="1"/>
    <col min="11020" max="11021" width="8.6328125" style="2321" customWidth="1"/>
    <col min="11022" max="11023" width="3.6328125" style="2321" customWidth="1"/>
    <col min="11024" max="11025" width="8.6328125" style="2321" customWidth="1"/>
    <col min="11026" max="11264" width="10" style="2321"/>
    <col min="11265" max="11267" width="3.6328125" style="2321" customWidth="1"/>
    <col min="11268" max="11269" width="8.6328125" style="2321" customWidth="1"/>
    <col min="11270" max="11271" width="3.6328125" style="2321" customWidth="1"/>
    <col min="11272" max="11273" width="8.6328125" style="2321" customWidth="1"/>
    <col min="11274" max="11275" width="3.6328125" style="2321" customWidth="1"/>
    <col min="11276" max="11277" width="8.6328125" style="2321" customWidth="1"/>
    <col min="11278" max="11279" width="3.6328125" style="2321" customWidth="1"/>
    <col min="11280" max="11281" width="8.6328125" style="2321" customWidth="1"/>
    <col min="11282" max="11520" width="10" style="2321"/>
    <col min="11521" max="11523" width="3.6328125" style="2321" customWidth="1"/>
    <col min="11524" max="11525" width="8.6328125" style="2321" customWidth="1"/>
    <col min="11526" max="11527" width="3.6328125" style="2321" customWidth="1"/>
    <col min="11528" max="11529" width="8.6328125" style="2321" customWidth="1"/>
    <col min="11530" max="11531" width="3.6328125" style="2321" customWidth="1"/>
    <col min="11532" max="11533" width="8.6328125" style="2321" customWidth="1"/>
    <col min="11534" max="11535" width="3.6328125" style="2321" customWidth="1"/>
    <col min="11536" max="11537" width="8.6328125" style="2321" customWidth="1"/>
    <col min="11538" max="11776" width="10" style="2321"/>
    <col min="11777" max="11779" width="3.6328125" style="2321" customWidth="1"/>
    <col min="11780" max="11781" width="8.6328125" style="2321" customWidth="1"/>
    <col min="11782" max="11783" width="3.6328125" style="2321" customWidth="1"/>
    <col min="11784" max="11785" width="8.6328125" style="2321" customWidth="1"/>
    <col min="11786" max="11787" width="3.6328125" style="2321" customWidth="1"/>
    <col min="11788" max="11789" width="8.6328125" style="2321" customWidth="1"/>
    <col min="11790" max="11791" width="3.6328125" style="2321" customWidth="1"/>
    <col min="11792" max="11793" width="8.6328125" style="2321" customWidth="1"/>
    <col min="11794" max="12032" width="10" style="2321"/>
    <col min="12033" max="12035" width="3.6328125" style="2321" customWidth="1"/>
    <col min="12036" max="12037" width="8.6328125" style="2321" customWidth="1"/>
    <col min="12038" max="12039" width="3.6328125" style="2321" customWidth="1"/>
    <col min="12040" max="12041" width="8.6328125" style="2321" customWidth="1"/>
    <col min="12042" max="12043" width="3.6328125" style="2321" customWidth="1"/>
    <col min="12044" max="12045" width="8.6328125" style="2321" customWidth="1"/>
    <col min="12046" max="12047" width="3.6328125" style="2321" customWidth="1"/>
    <col min="12048" max="12049" width="8.6328125" style="2321" customWidth="1"/>
    <col min="12050" max="12288" width="10" style="2321"/>
    <col min="12289" max="12291" width="3.6328125" style="2321" customWidth="1"/>
    <col min="12292" max="12293" width="8.6328125" style="2321" customWidth="1"/>
    <col min="12294" max="12295" width="3.6328125" style="2321" customWidth="1"/>
    <col min="12296" max="12297" width="8.6328125" style="2321" customWidth="1"/>
    <col min="12298" max="12299" width="3.6328125" style="2321" customWidth="1"/>
    <col min="12300" max="12301" width="8.6328125" style="2321" customWidth="1"/>
    <col min="12302" max="12303" width="3.6328125" style="2321" customWidth="1"/>
    <col min="12304" max="12305" width="8.6328125" style="2321" customWidth="1"/>
    <col min="12306" max="12544" width="10" style="2321"/>
    <col min="12545" max="12547" width="3.6328125" style="2321" customWidth="1"/>
    <col min="12548" max="12549" width="8.6328125" style="2321" customWidth="1"/>
    <col min="12550" max="12551" width="3.6328125" style="2321" customWidth="1"/>
    <col min="12552" max="12553" width="8.6328125" style="2321" customWidth="1"/>
    <col min="12554" max="12555" width="3.6328125" style="2321" customWidth="1"/>
    <col min="12556" max="12557" width="8.6328125" style="2321" customWidth="1"/>
    <col min="12558" max="12559" width="3.6328125" style="2321" customWidth="1"/>
    <col min="12560" max="12561" width="8.6328125" style="2321" customWidth="1"/>
    <col min="12562" max="12800" width="10" style="2321"/>
    <col min="12801" max="12803" width="3.6328125" style="2321" customWidth="1"/>
    <col min="12804" max="12805" width="8.6328125" style="2321" customWidth="1"/>
    <col min="12806" max="12807" width="3.6328125" style="2321" customWidth="1"/>
    <col min="12808" max="12809" width="8.6328125" style="2321" customWidth="1"/>
    <col min="12810" max="12811" width="3.6328125" style="2321" customWidth="1"/>
    <col min="12812" max="12813" width="8.6328125" style="2321" customWidth="1"/>
    <col min="12814" max="12815" width="3.6328125" style="2321" customWidth="1"/>
    <col min="12816" max="12817" width="8.6328125" style="2321" customWidth="1"/>
    <col min="12818" max="13056" width="10" style="2321"/>
    <col min="13057" max="13059" width="3.6328125" style="2321" customWidth="1"/>
    <col min="13060" max="13061" width="8.6328125" style="2321" customWidth="1"/>
    <col min="13062" max="13063" width="3.6328125" style="2321" customWidth="1"/>
    <col min="13064" max="13065" width="8.6328125" style="2321" customWidth="1"/>
    <col min="13066" max="13067" width="3.6328125" style="2321" customWidth="1"/>
    <col min="13068" max="13069" width="8.6328125" style="2321" customWidth="1"/>
    <col min="13070" max="13071" width="3.6328125" style="2321" customWidth="1"/>
    <col min="13072" max="13073" width="8.6328125" style="2321" customWidth="1"/>
    <col min="13074" max="13312" width="10" style="2321"/>
    <col min="13313" max="13315" width="3.6328125" style="2321" customWidth="1"/>
    <col min="13316" max="13317" width="8.6328125" style="2321" customWidth="1"/>
    <col min="13318" max="13319" width="3.6328125" style="2321" customWidth="1"/>
    <col min="13320" max="13321" width="8.6328125" style="2321" customWidth="1"/>
    <col min="13322" max="13323" width="3.6328125" style="2321" customWidth="1"/>
    <col min="13324" max="13325" width="8.6328125" style="2321" customWidth="1"/>
    <col min="13326" max="13327" width="3.6328125" style="2321" customWidth="1"/>
    <col min="13328" max="13329" width="8.6328125" style="2321" customWidth="1"/>
    <col min="13330" max="13568" width="10" style="2321"/>
    <col min="13569" max="13571" width="3.6328125" style="2321" customWidth="1"/>
    <col min="13572" max="13573" width="8.6328125" style="2321" customWidth="1"/>
    <col min="13574" max="13575" width="3.6328125" style="2321" customWidth="1"/>
    <col min="13576" max="13577" width="8.6328125" style="2321" customWidth="1"/>
    <col min="13578" max="13579" width="3.6328125" style="2321" customWidth="1"/>
    <col min="13580" max="13581" width="8.6328125" style="2321" customWidth="1"/>
    <col min="13582" max="13583" width="3.6328125" style="2321" customWidth="1"/>
    <col min="13584" max="13585" width="8.6328125" style="2321" customWidth="1"/>
    <col min="13586" max="13824" width="10" style="2321"/>
    <col min="13825" max="13827" width="3.6328125" style="2321" customWidth="1"/>
    <col min="13828" max="13829" width="8.6328125" style="2321" customWidth="1"/>
    <col min="13830" max="13831" width="3.6328125" style="2321" customWidth="1"/>
    <col min="13832" max="13833" width="8.6328125" style="2321" customWidth="1"/>
    <col min="13834" max="13835" width="3.6328125" style="2321" customWidth="1"/>
    <col min="13836" max="13837" width="8.6328125" style="2321" customWidth="1"/>
    <col min="13838" max="13839" width="3.6328125" style="2321" customWidth="1"/>
    <col min="13840" max="13841" width="8.6328125" style="2321" customWidth="1"/>
    <col min="13842" max="14080" width="10" style="2321"/>
    <col min="14081" max="14083" width="3.6328125" style="2321" customWidth="1"/>
    <col min="14084" max="14085" width="8.6328125" style="2321" customWidth="1"/>
    <col min="14086" max="14087" width="3.6328125" style="2321" customWidth="1"/>
    <col min="14088" max="14089" width="8.6328125" style="2321" customWidth="1"/>
    <col min="14090" max="14091" width="3.6328125" style="2321" customWidth="1"/>
    <col min="14092" max="14093" width="8.6328125" style="2321" customWidth="1"/>
    <col min="14094" max="14095" width="3.6328125" style="2321" customWidth="1"/>
    <col min="14096" max="14097" width="8.6328125" style="2321" customWidth="1"/>
    <col min="14098" max="14336" width="10" style="2321"/>
    <col min="14337" max="14339" width="3.6328125" style="2321" customWidth="1"/>
    <col min="14340" max="14341" width="8.6328125" style="2321" customWidth="1"/>
    <col min="14342" max="14343" width="3.6328125" style="2321" customWidth="1"/>
    <col min="14344" max="14345" width="8.6328125" style="2321" customWidth="1"/>
    <col min="14346" max="14347" width="3.6328125" style="2321" customWidth="1"/>
    <col min="14348" max="14349" width="8.6328125" style="2321" customWidth="1"/>
    <col min="14350" max="14351" width="3.6328125" style="2321" customWidth="1"/>
    <col min="14352" max="14353" width="8.6328125" style="2321" customWidth="1"/>
    <col min="14354" max="14592" width="10" style="2321"/>
    <col min="14593" max="14595" width="3.6328125" style="2321" customWidth="1"/>
    <col min="14596" max="14597" width="8.6328125" style="2321" customWidth="1"/>
    <col min="14598" max="14599" width="3.6328125" style="2321" customWidth="1"/>
    <col min="14600" max="14601" width="8.6328125" style="2321" customWidth="1"/>
    <col min="14602" max="14603" width="3.6328125" style="2321" customWidth="1"/>
    <col min="14604" max="14605" width="8.6328125" style="2321" customWidth="1"/>
    <col min="14606" max="14607" width="3.6328125" style="2321" customWidth="1"/>
    <col min="14608" max="14609" width="8.6328125" style="2321" customWidth="1"/>
    <col min="14610" max="14848" width="10" style="2321"/>
    <col min="14849" max="14851" width="3.6328125" style="2321" customWidth="1"/>
    <col min="14852" max="14853" width="8.6328125" style="2321" customWidth="1"/>
    <col min="14854" max="14855" width="3.6328125" style="2321" customWidth="1"/>
    <col min="14856" max="14857" width="8.6328125" style="2321" customWidth="1"/>
    <col min="14858" max="14859" width="3.6328125" style="2321" customWidth="1"/>
    <col min="14860" max="14861" width="8.6328125" style="2321" customWidth="1"/>
    <col min="14862" max="14863" width="3.6328125" style="2321" customWidth="1"/>
    <col min="14864" max="14865" width="8.6328125" style="2321" customWidth="1"/>
    <col min="14866" max="15104" width="10" style="2321"/>
    <col min="15105" max="15107" width="3.6328125" style="2321" customWidth="1"/>
    <col min="15108" max="15109" width="8.6328125" style="2321" customWidth="1"/>
    <col min="15110" max="15111" width="3.6328125" style="2321" customWidth="1"/>
    <col min="15112" max="15113" width="8.6328125" style="2321" customWidth="1"/>
    <col min="15114" max="15115" width="3.6328125" style="2321" customWidth="1"/>
    <col min="15116" max="15117" width="8.6328125" style="2321" customWidth="1"/>
    <col min="15118" max="15119" width="3.6328125" style="2321" customWidth="1"/>
    <col min="15120" max="15121" width="8.6328125" style="2321" customWidth="1"/>
    <col min="15122" max="15360" width="10" style="2321"/>
    <col min="15361" max="15363" width="3.6328125" style="2321" customWidth="1"/>
    <col min="15364" max="15365" width="8.6328125" style="2321" customWidth="1"/>
    <col min="15366" max="15367" width="3.6328125" style="2321" customWidth="1"/>
    <col min="15368" max="15369" width="8.6328125" style="2321" customWidth="1"/>
    <col min="15370" max="15371" width="3.6328125" style="2321" customWidth="1"/>
    <col min="15372" max="15373" width="8.6328125" style="2321" customWidth="1"/>
    <col min="15374" max="15375" width="3.6328125" style="2321" customWidth="1"/>
    <col min="15376" max="15377" width="8.6328125" style="2321" customWidth="1"/>
    <col min="15378" max="15616" width="10" style="2321"/>
    <col min="15617" max="15619" width="3.6328125" style="2321" customWidth="1"/>
    <col min="15620" max="15621" width="8.6328125" style="2321" customWidth="1"/>
    <col min="15622" max="15623" width="3.6328125" style="2321" customWidth="1"/>
    <col min="15624" max="15625" width="8.6328125" style="2321" customWidth="1"/>
    <col min="15626" max="15627" width="3.6328125" style="2321" customWidth="1"/>
    <col min="15628" max="15629" width="8.6328125" style="2321" customWidth="1"/>
    <col min="15630" max="15631" width="3.6328125" style="2321" customWidth="1"/>
    <col min="15632" max="15633" width="8.6328125" style="2321" customWidth="1"/>
    <col min="15634" max="15872" width="10" style="2321"/>
    <col min="15873" max="15875" width="3.6328125" style="2321" customWidth="1"/>
    <col min="15876" max="15877" width="8.6328125" style="2321" customWidth="1"/>
    <col min="15878" max="15879" width="3.6328125" style="2321" customWidth="1"/>
    <col min="15880" max="15881" width="8.6328125" style="2321" customWidth="1"/>
    <col min="15882" max="15883" width="3.6328125" style="2321" customWidth="1"/>
    <col min="15884" max="15885" width="8.6328125" style="2321" customWidth="1"/>
    <col min="15886" max="15887" width="3.6328125" style="2321" customWidth="1"/>
    <col min="15888" max="15889" width="8.6328125" style="2321" customWidth="1"/>
    <col min="15890" max="16128" width="10" style="2321"/>
    <col min="16129" max="16131" width="3.6328125" style="2321" customWidth="1"/>
    <col min="16132" max="16133" width="8.6328125" style="2321" customWidth="1"/>
    <col min="16134" max="16135" width="3.6328125" style="2321" customWidth="1"/>
    <col min="16136" max="16137" width="8.6328125" style="2321" customWidth="1"/>
    <col min="16138" max="16139" width="3.6328125" style="2321" customWidth="1"/>
    <col min="16140" max="16141" width="8.6328125" style="2321" customWidth="1"/>
    <col min="16142" max="16143" width="3.6328125" style="2321" customWidth="1"/>
    <col min="16144" max="16145" width="8.6328125" style="2321" customWidth="1"/>
    <col min="16146" max="16384" width="10" style="2321"/>
  </cols>
  <sheetData>
    <row r="1" spans="1:17" ht="18" customHeight="1">
      <c r="A1" s="2320" t="s">
        <v>1336</v>
      </c>
    </row>
    <row r="2" spans="1:17" ht="9" customHeight="1">
      <c r="A2" s="2320"/>
    </row>
    <row r="3" spans="1:17" s="2323" customFormat="1" ht="16" customHeight="1">
      <c r="A3" s="2322" t="s">
        <v>1337</v>
      </c>
      <c r="F3" s="2324"/>
      <c r="G3" s="2325"/>
      <c r="H3" s="2325"/>
      <c r="I3" s="2325"/>
      <c r="J3" s="2325"/>
      <c r="K3" s="2325"/>
    </row>
    <row r="4" spans="1:17" s="2330" customFormat="1" ht="16" customHeight="1">
      <c r="A4" s="2326" t="s">
        <v>197</v>
      </c>
      <c r="B4" s="2327" t="s">
        <v>1338</v>
      </c>
      <c r="C4" s="2328"/>
      <c r="D4" s="2328"/>
      <c r="E4" s="2329"/>
      <c r="F4" s="2327" t="s">
        <v>1339</v>
      </c>
      <c r="G4" s="2328"/>
      <c r="H4" s="2328"/>
      <c r="I4" s="2329"/>
      <c r="J4" s="2327" t="s">
        <v>1340</v>
      </c>
      <c r="K4" s="2328"/>
      <c r="L4" s="2328"/>
      <c r="M4" s="2329"/>
      <c r="N4" s="2327" t="s">
        <v>101</v>
      </c>
      <c r="O4" s="2328"/>
      <c r="P4" s="2328"/>
      <c r="Q4" s="2329"/>
    </row>
    <row r="5" spans="1:17" s="2330" customFormat="1" ht="16" customHeight="1">
      <c r="A5" s="2331"/>
      <c r="B5" s="2332" t="s">
        <v>1341</v>
      </c>
      <c r="C5" s="2333" t="s">
        <v>1342</v>
      </c>
      <c r="D5" s="2334" t="s">
        <v>1343</v>
      </c>
      <c r="E5" s="2335" t="s">
        <v>1344</v>
      </c>
      <c r="F5" s="2332" t="s">
        <v>1341</v>
      </c>
      <c r="G5" s="2333" t="s">
        <v>1342</v>
      </c>
      <c r="H5" s="2334" t="s">
        <v>1343</v>
      </c>
      <c r="I5" s="2335" t="s">
        <v>1344</v>
      </c>
      <c r="J5" s="2332" t="s">
        <v>1341</v>
      </c>
      <c r="K5" s="2333" t="s">
        <v>1342</v>
      </c>
      <c r="L5" s="2334" t="s">
        <v>1343</v>
      </c>
      <c r="M5" s="2335" t="s">
        <v>1344</v>
      </c>
      <c r="N5" s="2332" t="s">
        <v>1341</v>
      </c>
      <c r="O5" s="2333" t="s">
        <v>1342</v>
      </c>
      <c r="P5" s="2334" t="s">
        <v>1343</v>
      </c>
      <c r="Q5" s="2335" t="s">
        <v>1344</v>
      </c>
    </row>
    <row r="6" spans="1:17" s="2330" customFormat="1" ht="16" customHeight="1">
      <c r="A6" s="2331"/>
      <c r="B6" s="2336"/>
      <c r="C6" s="2337"/>
      <c r="D6" s="2338"/>
      <c r="E6" s="2339"/>
      <c r="F6" s="2336"/>
      <c r="G6" s="2337"/>
      <c r="H6" s="2338"/>
      <c r="I6" s="2339"/>
      <c r="J6" s="2336"/>
      <c r="K6" s="2337"/>
      <c r="L6" s="2338"/>
      <c r="M6" s="2339"/>
      <c r="N6" s="2336"/>
      <c r="O6" s="2337"/>
      <c r="P6" s="2338"/>
      <c r="Q6" s="2339"/>
    </row>
    <row r="7" spans="1:17" s="2330" customFormat="1" ht="12" customHeight="1">
      <c r="A7" s="2340"/>
      <c r="B7" s="2341"/>
      <c r="C7" s="2342"/>
      <c r="D7" s="2343"/>
      <c r="E7" s="2344"/>
      <c r="F7" s="2341"/>
      <c r="G7" s="2342"/>
      <c r="H7" s="2343"/>
      <c r="I7" s="2344"/>
      <c r="J7" s="2341"/>
      <c r="K7" s="2342"/>
      <c r="L7" s="2343"/>
      <c r="M7" s="2344"/>
      <c r="N7" s="2341"/>
      <c r="O7" s="2342"/>
      <c r="P7" s="2343"/>
      <c r="Q7" s="2344"/>
    </row>
    <row r="8" spans="1:17" s="2330" customFormat="1" ht="15" customHeight="1">
      <c r="A8" s="2345" t="s">
        <v>2391</v>
      </c>
      <c r="B8" s="2346">
        <v>6</v>
      </c>
      <c r="C8" s="2347">
        <v>5</v>
      </c>
      <c r="D8" s="2347">
        <v>3439586</v>
      </c>
      <c r="E8" s="2348">
        <v>902724</v>
      </c>
      <c r="F8" s="2346">
        <v>26</v>
      </c>
      <c r="G8" s="2347">
        <v>28</v>
      </c>
      <c r="H8" s="2347">
        <v>2503910</v>
      </c>
      <c r="I8" s="2348">
        <v>724837</v>
      </c>
      <c r="J8" s="2346"/>
      <c r="K8" s="2347"/>
      <c r="L8" s="2347"/>
      <c r="M8" s="2348"/>
      <c r="N8" s="2346">
        <v>32</v>
      </c>
      <c r="O8" s="2347">
        <v>33</v>
      </c>
      <c r="P8" s="2347">
        <v>5943496</v>
      </c>
      <c r="Q8" s="2348">
        <v>1627561</v>
      </c>
    </row>
    <row r="9" spans="1:17" ht="15" customHeight="1">
      <c r="A9" s="2349">
        <v>55</v>
      </c>
      <c r="B9" s="2350">
        <v>6</v>
      </c>
      <c r="C9" s="2351">
        <v>5</v>
      </c>
      <c r="D9" s="2351">
        <v>3088075</v>
      </c>
      <c r="E9" s="2352">
        <v>969111</v>
      </c>
      <c r="F9" s="2350">
        <v>26</v>
      </c>
      <c r="G9" s="2351">
        <v>27</v>
      </c>
      <c r="H9" s="2351">
        <v>2701892</v>
      </c>
      <c r="I9" s="2352">
        <v>691133</v>
      </c>
      <c r="J9" s="2350"/>
      <c r="K9" s="2351"/>
      <c r="L9" s="2351"/>
      <c r="M9" s="2352"/>
      <c r="N9" s="2350">
        <v>32</v>
      </c>
      <c r="O9" s="2351">
        <v>32</v>
      </c>
      <c r="P9" s="2351">
        <v>5789967</v>
      </c>
      <c r="Q9" s="2352">
        <v>1660244</v>
      </c>
    </row>
    <row r="10" spans="1:17" ht="15" customHeight="1">
      <c r="A10" s="2353">
        <v>56</v>
      </c>
      <c r="B10" s="2354">
        <v>8</v>
      </c>
      <c r="C10" s="2355">
        <v>7</v>
      </c>
      <c r="D10" s="2355">
        <v>4492547</v>
      </c>
      <c r="E10" s="2356">
        <v>1228804</v>
      </c>
      <c r="F10" s="2354">
        <v>27</v>
      </c>
      <c r="G10" s="2355">
        <v>29</v>
      </c>
      <c r="H10" s="2355">
        <v>4009660</v>
      </c>
      <c r="I10" s="2356">
        <v>794131</v>
      </c>
      <c r="J10" s="2354">
        <v>10</v>
      </c>
      <c r="K10" s="2355">
        <v>12</v>
      </c>
      <c r="L10" s="2355">
        <v>109622</v>
      </c>
      <c r="M10" s="2356">
        <v>42127</v>
      </c>
      <c r="N10" s="2354">
        <v>45</v>
      </c>
      <c r="O10" s="2355">
        <v>48</v>
      </c>
      <c r="P10" s="2355">
        <v>8611829</v>
      </c>
      <c r="Q10" s="2356">
        <v>2065062</v>
      </c>
    </row>
    <row r="11" spans="1:17" ht="15" customHeight="1">
      <c r="A11" s="2353">
        <v>57</v>
      </c>
      <c r="B11" s="2354">
        <v>10</v>
      </c>
      <c r="C11" s="2355">
        <v>9</v>
      </c>
      <c r="D11" s="2355">
        <v>1896324</v>
      </c>
      <c r="E11" s="2356">
        <v>446759</v>
      </c>
      <c r="F11" s="2354">
        <v>35</v>
      </c>
      <c r="G11" s="2355">
        <v>43</v>
      </c>
      <c r="H11" s="2355">
        <v>3427214</v>
      </c>
      <c r="I11" s="2356">
        <v>981000</v>
      </c>
      <c r="J11" s="2354">
        <v>26</v>
      </c>
      <c r="K11" s="2355">
        <v>31</v>
      </c>
      <c r="L11" s="2355">
        <v>262671</v>
      </c>
      <c r="M11" s="2356">
        <v>118089</v>
      </c>
      <c r="N11" s="2354">
        <v>71</v>
      </c>
      <c r="O11" s="2355">
        <v>83</v>
      </c>
      <c r="P11" s="2355">
        <v>5586209</v>
      </c>
      <c r="Q11" s="2356">
        <v>1545848</v>
      </c>
    </row>
    <row r="12" spans="1:17" ht="15" customHeight="1">
      <c r="A12" s="2357">
        <v>58</v>
      </c>
      <c r="B12" s="2358">
        <v>8</v>
      </c>
      <c r="C12" s="2359">
        <v>7</v>
      </c>
      <c r="D12" s="2359">
        <v>2243063</v>
      </c>
      <c r="E12" s="2360">
        <v>552734</v>
      </c>
      <c r="F12" s="2358">
        <v>31</v>
      </c>
      <c r="G12" s="2359">
        <v>55</v>
      </c>
      <c r="H12" s="2359">
        <v>4100008</v>
      </c>
      <c r="I12" s="2360">
        <v>1234227</v>
      </c>
      <c r="J12" s="2358">
        <v>41</v>
      </c>
      <c r="K12" s="2359">
        <v>56</v>
      </c>
      <c r="L12" s="2359">
        <v>330896</v>
      </c>
      <c r="M12" s="2360">
        <v>136977</v>
      </c>
      <c r="N12" s="2358">
        <v>80</v>
      </c>
      <c r="O12" s="2359">
        <v>118</v>
      </c>
      <c r="P12" s="2359">
        <v>6673967</v>
      </c>
      <c r="Q12" s="2360">
        <v>1923938</v>
      </c>
    </row>
    <row r="13" spans="1:17" ht="15" customHeight="1">
      <c r="A13" s="2349">
        <v>59</v>
      </c>
      <c r="B13" s="2350">
        <v>8</v>
      </c>
      <c r="C13" s="2351">
        <v>7</v>
      </c>
      <c r="D13" s="2351">
        <v>2531521</v>
      </c>
      <c r="E13" s="2352">
        <v>742616</v>
      </c>
      <c r="F13" s="2350">
        <v>23</v>
      </c>
      <c r="G13" s="2351">
        <v>30</v>
      </c>
      <c r="H13" s="2351">
        <v>2499024</v>
      </c>
      <c r="I13" s="2352">
        <v>780339</v>
      </c>
      <c r="J13" s="2350">
        <v>16</v>
      </c>
      <c r="K13" s="2351">
        <v>26</v>
      </c>
      <c r="L13" s="2351">
        <v>226719</v>
      </c>
      <c r="M13" s="2352">
        <v>116645</v>
      </c>
      <c r="N13" s="2350">
        <v>47</v>
      </c>
      <c r="O13" s="2351">
        <v>63</v>
      </c>
      <c r="P13" s="2351">
        <v>5257264</v>
      </c>
      <c r="Q13" s="2352">
        <v>1639600</v>
      </c>
    </row>
    <row r="14" spans="1:17" ht="15" customHeight="1">
      <c r="A14" s="2349">
        <v>60</v>
      </c>
      <c r="B14" s="2350">
        <v>9</v>
      </c>
      <c r="C14" s="2351">
        <v>8</v>
      </c>
      <c r="D14" s="2351">
        <v>3126940</v>
      </c>
      <c r="E14" s="2352">
        <v>891495</v>
      </c>
      <c r="F14" s="2350">
        <v>24</v>
      </c>
      <c r="G14" s="2351">
        <v>35</v>
      </c>
      <c r="H14" s="2351">
        <v>2620423</v>
      </c>
      <c r="I14" s="2352">
        <v>744757</v>
      </c>
      <c r="J14" s="2350">
        <v>14</v>
      </c>
      <c r="K14" s="2351">
        <v>18</v>
      </c>
      <c r="L14" s="2351">
        <v>131447</v>
      </c>
      <c r="M14" s="2352">
        <v>68089.5</v>
      </c>
      <c r="N14" s="2350">
        <v>47</v>
      </c>
      <c r="O14" s="2351">
        <v>61</v>
      </c>
      <c r="P14" s="2351">
        <v>5878810</v>
      </c>
      <c r="Q14" s="2352">
        <v>1704341.5</v>
      </c>
    </row>
    <row r="15" spans="1:17" ht="15" customHeight="1">
      <c r="A15" s="2353">
        <v>61</v>
      </c>
      <c r="B15" s="2354">
        <v>5</v>
      </c>
      <c r="C15" s="2355">
        <v>5</v>
      </c>
      <c r="D15" s="2355">
        <v>2429841</v>
      </c>
      <c r="E15" s="2356">
        <v>882945</v>
      </c>
      <c r="F15" s="2354">
        <v>20</v>
      </c>
      <c r="G15" s="2355">
        <v>26</v>
      </c>
      <c r="H15" s="2355">
        <v>2905083</v>
      </c>
      <c r="I15" s="2356">
        <v>954731</v>
      </c>
      <c r="J15" s="2354">
        <v>5</v>
      </c>
      <c r="K15" s="2355">
        <v>5</v>
      </c>
      <c r="L15" s="2355">
        <v>18042</v>
      </c>
      <c r="M15" s="2356">
        <v>9021</v>
      </c>
      <c r="N15" s="2354">
        <v>30</v>
      </c>
      <c r="O15" s="2355">
        <v>36</v>
      </c>
      <c r="P15" s="2355">
        <v>5352966</v>
      </c>
      <c r="Q15" s="2356">
        <v>1846697</v>
      </c>
    </row>
    <row r="16" spans="1:17" ht="15" customHeight="1">
      <c r="A16" s="2353">
        <v>62</v>
      </c>
      <c r="B16" s="2354">
        <v>6</v>
      </c>
      <c r="C16" s="2355">
        <v>6</v>
      </c>
      <c r="D16" s="2355">
        <v>2629395</v>
      </c>
      <c r="E16" s="2356">
        <v>1179697</v>
      </c>
      <c r="F16" s="2354">
        <v>21</v>
      </c>
      <c r="G16" s="2355">
        <v>31</v>
      </c>
      <c r="H16" s="2355">
        <v>3142174</v>
      </c>
      <c r="I16" s="2356">
        <v>967654</v>
      </c>
      <c r="J16" s="2354">
        <v>1</v>
      </c>
      <c r="K16" s="2355">
        <v>1</v>
      </c>
      <c r="L16" s="2355">
        <v>133819</v>
      </c>
      <c r="M16" s="2356">
        <v>64256</v>
      </c>
      <c r="N16" s="2354">
        <v>28</v>
      </c>
      <c r="O16" s="2355">
        <v>38</v>
      </c>
      <c r="P16" s="2355">
        <v>5905388</v>
      </c>
      <c r="Q16" s="2356">
        <v>2211607</v>
      </c>
    </row>
    <row r="17" spans="1:17" ht="15" customHeight="1">
      <c r="A17" s="2357">
        <v>63</v>
      </c>
      <c r="B17" s="2358">
        <v>5</v>
      </c>
      <c r="C17" s="2359">
        <v>5</v>
      </c>
      <c r="D17" s="2359">
        <v>3308364</v>
      </c>
      <c r="E17" s="2360">
        <v>1529182</v>
      </c>
      <c r="F17" s="2358">
        <v>30</v>
      </c>
      <c r="G17" s="2359">
        <v>41</v>
      </c>
      <c r="H17" s="2359">
        <v>5569846</v>
      </c>
      <c r="I17" s="2360">
        <v>1721163</v>
      </c>
      <c r="J17" s="2358">
        <v>1</v>
      </c>
      <c r="K17" s="2359">
        <v>1</v>
      </c>
      <c r="L17" s="2359">
        <v>24567</v>
      </c>
      <c r="M17" s="2360">
        <v>7857</v>
      </c>
      <c r="N17" s="2358">
        <v>36</v>
      </c>
      <c r="O17" s="2359">
        <v>47</v>
      </c>
      <c r="P17" s="2359">
        <v>8902777</v>
      </c>
      <c r="Q17" s="2360">
        <v>3258202</v>
      </c>
    </row>
    <row r="18" spans="1:17" ht="15" customHeight="1">
      <c r="A18" s="2349" t="s">
        <v>2392</v>
      </c>
      <c r="B18" s="2350">
        <v>6</v>
      </c>
      <c r="C18" s="2351">
        <v>6</v>
      </c>
      <c r="D18" s="2351">
        <v>4168488</v>
      </c>
      <c r="E18" s="2352">
        <v>1821994</v>
      </c>
      <c r="F18" s="2350">
        <v>32</v>
      </c>
      <c r="G18" s="2351">
        <v>50</v>
      </c>
      <c r="H18" s="2351">
        <v>6038334</v>
      </c>
      <c r="I18" s="2352">
        <v>1977848</v>
      </c>
      <c r="J18" s="2350">
        <v>1</v>
      </c>
      <c r="K18" s="2351">
        <v>1</v>
      </c>
      <c r="L18" s="2351">
        <v>213023</v>
      </c>
      <c r="M18" s="2352">
        <v>47790</v>
      </c>
      <c r="N18" s="2350">
        <v>39</v>
      </c>
      <c r="O18" s="2351">
        <v>57</v>
      </c>
      <c r="P18" s="2351">
        <v>10419845</v>
      </c>
      <c r="Q18" s="2352">
        <v>3847632</v>
      </c>
    </row>
    <row r="19" spans="1:17" ht="15" customHeight="1">
      <c r="A19" s="2349">
        <v>2</v>
      </c>
      <c r="B19" s="2350">
        <v>6</v>
      </c>
      <c r="C19" s="2351">
        <v>6</v>
      </c>
      <c r="D19" s="2351">
        <v>4540025</v>
      </c>
      <c r="E19" s="2352">
        <v>1611830</v>
      </c>
      <c r="F19" s="2350">
        <v>30</v>
      </c>
      <c r="G19" s="2351">
        <v>47</v>
      </c>
      <c r="H19" s="2351">
        <v>4935791</v>
      </c>
      <c r="I19" s="2352">
        <v>1873535</v>
      </c>
      <c r="J19" s="2350">
        <v>1</v>
      </c>
      <c r="K19" s="2351">
        <v>1</v>
      </c>
      <c r="L19" s="2351">
        <v>455413</v>
      </c>
      <c r="M19" s="2352">
        <v>50676</v>
      </c>
      <c r="N19" s="2350">
        <v>37</v>
      </c>
      <c r="O19" s="2351">
        <v>54</v>
      </c>
      <c r="P19" s="2351">
        <v>9931229</v>
      </c>
      <c r="Q19" s="2352">
        <v>3536041</v>
      </c>
    </row>
    <row r="20" spans="1:17" ht="15" customHeight="1">
      <c r="A20" s="2353">
        <v>3</v>
      </c>
      <c r="B20" s="2354">
        <v>11</v>
      </c>
      <c r="C20" s="2355">
        <v>11</v>
      </c>
      <c r="D20" s="2355">
        <v>4262851</v>
      </c>
      <c r="E20" s="2356">
        <v>1535450</v>
      </c>
      <c r="F20" s="2354">
        <v>25</v>
      </c>
      <c r="G20" s="2355">
        <v>42</v>
      </c>
      <c r="H20" s="2355">
        <v>3083506</v>
      </c>
      <c r="I20" s="2356">
        <v>1130041</v>
      </c>
      <c r="J20" s="2354">
        <v>2</v>
      </c>
      <c r="K20" s="2355">
        <v>3</v>
      </c>
      <c r="L20" s="2355">
        <v>120233</v>
      </c>
      <c r="M20" s="2356">
        <v>60116.5</v>
      </c>
      <c r="N20" s="2354">
        <v>38</v>
      </c>
      <c r="O20" s="2355">
        <v>56</v>
      </c>
      <c r="P20" s="2355">
        <v>7466590</v>
      </c>
      <c r="Q20" s="2356">
        <v>2725607.5</v>
      </c>
    </row>
    <row r="21" spans="1:17" ht="15" customHeight="1">
      <c r="A21" s="2353">
        <v>4</v>
      </c>
      <c r="B21" s="2354">
        <v>14</v>
      </c>
      <c r="C21" s="2355">
        <v>14</v>
      </c>
      <c r="D21" s="2355">
        <v>3456857</v>
      </c>
      <c r="E21" s="2356">
        <v>860924</v>
      </c>
      <c r="F21" s="2354">
        <v>35</v>
      </c>
      <c r="G21" s="2355">
        <v>54</v>
      </c>
      <c r="H21" s="2355">
        <v>5640951</v>
      </c>
      <c r="I21" s="2356">
        <v>1810878</v>
      </c>
      <c r="J21" s="2354">
        <v>1</v>
      </c>
      <c r="K21" s="2355">
        <v>1</v>
      </c>
      <c r="L21" s="2355">
        <v>2403</v>
      </c>
      <c r="M21" s="2356">
        <v>566</v>
      </c>
      <c r="N21" s="2354">
        <v>50</v>
      </c>
      <c r="O21" s="2355">
        <v>69</v>
      </c>
      <c r="P21" s="2355">
        <v>9100211</v>
      </c>
      <c r="Q21" s="2356">
        <v>2672368</v>
      </c>
    </row>
    <row r="22" spans="1:17" ht="15" customHeight="1">
      <c r="A22" s="2357">
        <v>5</v>
      </c>
      <c r="B22" s="2358">
        <v>15</v>
      </c>
      <c r="C22" s="2359">
        <v>16</v>
      </c>
      <c r="D22" s="2359">
        <v>2120574</v>
      </c>
      <c r="E22" s="2360">
        <v>565881</v>
      </c>
      <c r="F22" s="2358">
        <v>42</v>
      </c>
      <c r="G22" s="2359">
        <v>69</v>
      </c>
      <c r="H22" s="2359">
        <v>8501691</v>
      </c>
      <c r="I22" s="2360">
        <v>2456509</v>
      </c>
      <c r="J22" s="2358">
        <v>2</v>
      </c>
      <c r="K22" s="2359">
        <v>2</v>
      </c>
      <c r="L22" s="2359">
        <v>24107</v>
      </c>
      <c r="M22" s="2360">
        <v>10058</v>
      </c>
      <c r="N22" s="2358">
        <v>56</v>
      </c>
      <c r="O22" s="2359">
        <v>87</v>
      </c>
      <c r="P22" s="2359">
        <v>10646372</v>
      </c>
      <c r="Q22" s="2360">
        <v>3032448</v>
      </c>
    </row>
    <row r="23" spans="1:17" ht="15" customHeight="1">
      <c r="A23" s="2349">
        <v>6</v>
      </c>
      <c r="B23" s="2350">
        <v>12</v>
      </c>
      <c r="C23" s="2351">
        <v>13</v>
      </c>
      <c r="D23" s="2351">
        <v>1459500</v>
      </c>
      <c r="E23" s="2352">
        <v>412751</v>
      </c>
      <c r="F23" s="2350">
        <v>42</v>
      </c>
      <c r="G23" s="2351">
        <v>65</v>
      </c>
      <c r="H23" s="2351">
        <v>7773306</v>
      </c>
      <c r="I23" s="2352">
        <v>2119864</v>
      </c>
      <c r="J23" s="2350"/>
      <c r="K23" s="2351"/>
      <c r="L23" s="2351"/>
      <c r="M23" s="2352"/>
      <c r="N23" s="2350">
        <v>51</v>
      </c>
      <c r="O23" s="2351">
        <v>78</v>
      </c>
      <c r="P23" s="2351">
        <v>9232806</v>
      </c>
      <c r="Q23" s="2352">
        <v>2532615</v>
      </c>
    </row>
    <row r="24" spans="1:17" ht="15" customHeight="1">
      <c r="A24" s="2349">
        <v>7</v>
      </c>
      <c r="B24" s="2350">
        <v>11</v>
      </c>
      <c r="C24" s="2351">
        <v>11</v>
      </c>
      <c r="D24" s="2351">
        <v>958379</v>
      </c>
      <c r="E24" s="2352">
        <v>230490</v>
      </c>
      <c r="F24" s="2350">
        <v>39</v>
      </c>
      <c r="G24" s="2351">
        <v>54</v>
      </c>
      <c r="H24" s="2351">
        <v>7862458</v>
      </c>
      <c r="I24" s="2352">
        <v>2230358</v>
      </c>
      <c r="J24" s="2350">
        <v>8</v>
      </c>
      <c r="K24" s="2351">
        <v>11</v>
      </c>
      <c r="L24" s="2351">
        <v>279543</v>
      </c>
      <c r="M24" s="2352">
        <v>119190</v>
      </c>
      <c r="N24" s="2350">
        <v>53</v>
      </c>
      <c r="O24" s="2351">
        <v>76</v>
      </c>
      <c r="P24" s="2351">
        <v>9100380</v>
      </c>
      <c r="Q24" s="2352">
        <v>2580038</v>
      </c>
    </row>
    <row r="25" spans="1:17" ht="15" customHeight="1">
      <c r="A25" s="2353">
        <v>8</v>
      </c>
      <c r="B25" s="2354">
        <v>7</v>
      </c>
      <c r="C25" s="2355">
        <v>7</v>
      </c>
      <c r="D25" s="2355">
        <v>473741</v>
      </c>
      <c r="E25" s="2356">
        <v>113528</v>
      </c>
      <c r="F25" s="2354">
        <v>41</v>
      </c>
      <c r="G25" s="2355">
        <v>59</v>
      </c>
      <c r="H25" s="2355">
        <v>6277453</v>
      </c>
      <c r="I25" s="2356">
        <v>1636286</v>
      </c>
      <c r="J25" s="2354">
        <v>3</v>
      </c>
      <c r="K25" s="2355">
        <v>6</v>
      </c>
      <c r="L25" s="2355">
        <v>60347</v>
      </c>
      <c r="M25" s="2356">
        <v>22331</v>
      </c>
      <c r="N25" s="2354">
        <v>45</v>
      </c>
      <c r="O25" s="2355">
        <v>72</v>
      </c>
      <c r="P25" s="2355">
        <v>6811541</v>
      </c>
      <c r="Q25" s="2356">
        <v>1772145</v>
      </c>
    </row>
    <row r="26" spans="1:17" ht="15" customHeight="1">
      <c r="A26" s="2353">
        <v>9</v>
      </c>
      <c r="B26" s="2354">
        <v>7</v>
      </c>
      <c r="C26" s="2355">
        <v>7</v>
      </c>
      <c r="D26" s="2355">
        <v>601106</v>
      </c>
      <c r="E26" s="2356">
        <v>100528</v>
      </c>
      <c r="F26" s="2354">
        <v>40</v>
      </c>
      <c r="G26" s="2355">
        <v>61</v>
      </c>
      <c r="H26" s="2355">
        <v>7405818</v>
      </c>
      <c r="I26" s="2356">
        <v>1988263</v>
      </c>
      <c r="J26" s="2354"/>
      <c r="K26" s="2355"/>
      <c r="L26" s="2355"/>
      <c r="M26" s="2356"/>
      <c r="N26" s="2354">
        <v>47</v>
      </c>
      <c r="O26" s="2355">
        <v>68</v>
      </c>
      <c r="P26" s="2355">
        <v>8006924</v>
      </c>
      <c r="Q26" s="2356">
        <v>2088791</v>
      </c>
    </row>
    <row r="27" spans="1:17" ht="15" customHeight="1">
      <c r="A27" s="2357">
        <v>10</v>
      </c>
      <c r="B27" s="2358">
        <v>19</v>
      </c>
      <c r="C27" s="2359">
        <v>24</v>
      </c>
      <c r="D27" s="2359">
        <v>1886110</v>
      </c>
      <c r="E27" s="2360">
        <v>459455</v>
      </c>
      <c r="F27" s="2358">
        <v>47</v>
      </c>
      <c r="G27" s="2359">
        <v>80</v>
      </c>
      <c r="H27" s="2359">
        <v>8082480</v>
      </c>
      <c r="I27" s="2360">
        <v>2404265</v>
      </c>
      <c r="J27" s="2358">
        <v>1</v>
      </c>
      <c r="K27" s="2359">
        <v>1</v>
      </c>
      <c r="L27" s="2359">
        <v>21525</v>
      </c>
      <c r="M27" s="2360">
        <v>9512</v>
      </c>
      <c r="N27" s="2358">
        <v>61</v>
      </c>
      <c r="O27" s="2359">
        <v>105</v>
      </c>
      <c r="P27" s="2359">
        <f>D27+H27+L27</f>
        <v>9990115</v>
      </c>
      <c r="Q27" s="2360">
        <f>E27+I27+M27</f>
        <v>2873232</v>
      </c>
    </row>
    <row r="28" spans="1:17" ht="15" customHeight="1">
      <c r="A28" s="2349">
        <v>11</v>
      </c>
      <c r="B28" s="2350">
        <v>16</v>
      </c>
      <c r="C28" s="2351">
        <v>18</v>
      </c>
      <c r="D28" s="2351">
        <v>1486147</v>
      </c>
      <c r="E28" s="2352">
        <v>293493</v>
      </c>
      <c r="F28" s="2350">
        <v>36</v>
      </c>
      <c r="G28" s="2351">
        <v>58</v>
      </c>
      <c r="H28" s="2351">
        <v>5301963</v>
      </c>
      <c r="I28" s="2352">
        <v>1880076</v>
      </c>
      <c r="J28" s="2350">
        <v>3</v>
      </c>
      <c r="K28" s="2351">
        <v>3</v>
      </c>
      <c r="L28" s="2351">
        <v>55067</v>
      </c>
      <c r="M28" s="2352">
        <v>27534</v>
      </c>
      <c r="N28" s="2350">
        <f>B28+F28+J28</f>
        <v>55</v>
      </c>
      <c r="O28" s="2351">
        <f>C28+G28+K28</f>
        <v>79</v>
      </c>
      <c r="P28" s="2351">
        <f>D28+H28+L28</f>
        <v>6843177</v>
      </c>
      <c r="Q28" s="2352">
        <f>E28+I28+M28</f>
        <v>2201103</v>
      </c>
    </row>
    <row r="29" spans="1:17" ht="15" customHeight="1">
      <c r="A29" s="2349">
        <v>12</v>
      </c>
      <c r="B29" s="2350">
        <v>16</v>
      </c>
      <c r="C29" s="2351">
        <v>18</v>
      </c>
      <c r="D29" s="2351">
        <v>3239263</v>
      </c>
      <c r="E29" s="2352">
        <v>568880</v>
      </c>
      <c r="F29" s="2350">
        <v>33</v>
      </c>
      <c r="G29" s="2351">
        <v>50</v>
      </c>
      <c r="H29" s="2351">
        <v>5359947</v>
      </c>
      <c r="I29" s="2352">
        <v>1562946</v>
      </c>
      <c r="J29" s="2350">
        <v>5</v>
      </c>
      <c r="K29" s="2351">
        <v>8</v>
      </c>
      <c r="L29" s="2351">
        <v>44714</v>
      </c>
      <c r="M29" s="2352">
        <v>22355</v>
      </c>
      <c r="N29" s="2350">
        <f t="shared" ref="N29:Q44" si="0">+B29+F29+J29</f>
        <v>54</v>
      </c>
      <c r="O29" s="2351">
        <f t="shared" si="0"/>
        <v>76</v>
      </c>
      <c r="P29" s="2351">
        <f t="shared" si="0"/>
        <v>8643924</v>
      </c>
      <c r="Q29" s="2352">
        <f t="shared" si="0"/>
        <v>2154181</v>
      </c>
    </row>
    <row r="30" spans="1:17" ht="15" customHeight="1">
      <c r="A30" s="2353">
        <v>13</v>
      </c>
      <c r="B30" s="2354">
        <v>10</v>
      </c>
      <c r="C30" s="2355">
        <v>11</v>
      </c>
      <c r="D30" s="2355">
        <v>1569940</v>
      </c>
      <c r="E30" s="2356">
        <v>392485</v>
      </c>
      <c r="F30" s="2354">
        <v>30</v>
      </c>
      <c r="G30" s="2355">
        <v>43</v>
      </c>
      <c r="H30" s="2355">
        <v>4241323</v>
      </c>
      <c r="I30" s="2356">
        <v>1529965</v>
      </c>
      <c r="J30" s="2354">
        <v>3</v>
      </c>
      <c r="K30" s="2355">
        <v>4</v>
      </c>
      <c r="L30" s="2355">
        <v>21116</v>
      </c>
      <c r="M30" s="2356">
        <v>10558</v>
      </c>
      <c r="N30" s="2354">
        <f t="shared" si="0"/>
        <v>43</v>
      </c>
      <c r="O30" s="2355">
        <f t="shared" si="0"/>
        <v>58</v>
      </c>
      <c r="P30" s="2355">
        <f t="shared" si="0"/>
        <v>5832379</v>
      </c>
      <c r="Q30" s="2356">
        <f t="shared" si="0"/>
        <v>1933008</v>
      </c>
    </row>
    <row r="31" spans="1:17" ht="15" customHeight="1">
      <c r="A31" s="2353">
        <v>14</v>
      </c>
      <c r="B31" s="2354">
        <v>9</v>
      </c>
      <c r="C31" s="2355">
        <v>10</v>
      </c>
      <c r="D31" s="2355">
        <v>1232695</v>
      </c>
      <c r="E31" s="2356">
        <v>308173</v>
      </c>
      <c r="F31" s="2354">
        <v>26</v>
      </c>
      <c r="G31" s="2355">
        <v>37</v>
      </c>
      <c r="H31" s="2355">
        <v>3182245</v>
      </c>
      <c r="I31" s="2356">
        <v>1130898</v>
      </c>
      <c r="J31" s="2354"/>
      <c r="K31" s="2355"/>
      <c r="L31" s="2355"/>
      <c r="M31" s="2356"/>
      <c r="N31" s="2354">
        <f t="shared" si="0"/>
        <v>35</v>
      </c>
      <c r="O31" s="2355">
        <f t="shared" si="0"/>
        <v>47</v>
      </c>
      <c r="P31" s="2355">
        <f t="shared" si="0"/>
        <v>4414940</v>
      </c>
      <c r="Q31" s="2356">
        <f t="shared" si="0"/>
        <v>1439071</v>
      </c>
    </row>
    <row r="32" spans="1:17" ht="15" customHeight="1">
      <c r="A32" s="2357">
        <v>15</v>
      </c>
      <c r="B32" s="2358">
        <v>9</v>
      </c>
      <c r="C32" s="2359">
        <v>10</v>
      </c>
      <c r="D32" s="2359">
        <v>1086061</v>
      </c>
      <c r="E32" s="2360">
        <v>271515</v>
      </c>
      <c r="F32" s="2358">
        <v>27</v>
      </c>
      <c r="G32" s="2359">
        <v>38</v>
      </c>
      <c r="H32" s="2359">
        <v>2623027</v>
      </c>
      <c r="I32" s="2360">
        <v>919164</v>
      </c>
      <c r="J32" s="2358"/>
      <c r="K32" s="2359"/>
      <c r="L32" s="2359"/>
      <c r="M32" s="2360"/>
      <c r="N32" s="2358">
        <f t="shared" si="0"/>
        <v>36</v>
      </c>
      <c r="O32" s="2359">
        <f t="shared" si="0"/>
        <v>48</v>
      </c>
      <c r="P32" s="2359">
        <f t="shared" si="0"/>
        <v>3709088</v>
      </c>
      <c r="Q32" s="2360">
        <f t="shared" si="0"/>
        <v>1190679</v>
      </c>
    </row>
    <row r="33" spans="1:19" ht="15" customHeight="1">
      <c r="A33" s="2349">
        <v>16</v>
      </c>
      <c r="B33" s="2350">
        <v>9</v>
      </c>
      <c r="C33" s="2351">
        <v>10</v>
      </c>
      <c r="D33" s="2351">
        <v>631751</v>
      </c>
      <c r="E33" s="2352">
        <v>162632</v>
      </c>
      <c r="F33" s="2350">
        <v>24</v>
      </c>
      <c r="G33" s="2351">
        <v>28</v>
      </c>
      <c r="H33" s="2351">
        <v>2635254</v>
      </c>
      <c r="I33" s="2352">
        <v>956023</v>
      </c>
      <c r="J33" s="2350">
        <v>6</v>
      </c>
      <c r="K33" s="2351">
        <v>6</v>
      </c>
      <c r="L33" s="2351">
        <v>31017</v>
      </c>
      <c r="M33" s="2352">
        <v>15507</v>
      </c>
      <c r="N33" s="2350">
        <f t="shared" si="0"/>
        <v>39</v>
      </c>
      <c r="O33" s="2351">
        <f t="shared" si="0"/>
        <v>44</v>
      </c>
      <c r="P33" s="2351">
        <f t="shared" si="0"/>
        <v>3298022</v>
      </c>
      <c r="Q33" s="2352">
        <f t="shared" si="0"/>
        <v>1134162</v>
      </c>
    </row>
    <row r="34" spans="1:19" ht="15" customHeight="1">
      <c r="A34" s="2349">
        <v>17</v>
      </c>
      <c r="B34" s="2350">
        <v>6</v>
      </c>
      <c r="C34" s="2351">
        <v>8</v>
      </c>
      <c r="D34" s="2351">
        <v>622960</v>
      </c>
      <c r="E34" s="2352">
        <v>175120</v>
      </c>
      <c r="F34" s="2350">
        <v>15</v>
      </c>
      <c r="G34" s="2351">
        <v>19</v>
      </c>
      <c r="H34" s="2351">
        <v>1482276</v>
      </c>
      <c r="I34" s="2352">
        <v>537168</v>
      </c>
      <c r="J34" s="2350"/>
      <c r="K34" s="2351"/>
      <c r="L34" s="2351"/>
      <c r="M34" s="2352"/>
      <c r="N34" s="2350">
        <f t="shared" si="0"/>
        <v>21</v>
      </c>
      <c r="O34" s="2351">
        <f t="shared" si="0"/>
        <v>27</v>
      </c>
      <c r="P34" s="2351">
        <f t="shared" si="0"/>
        <v>2105236</v>
      </c>
      <c r="Q34" s="2352">
        <f t="shared" si="0"/>
        <v>712288</v>
      </c>
    </row>
    <row r="35" spans="1:19" s="2361" customFormat="1" ht="15" customHeight="1">
      <c r="A35" s="2353">
        <v>18</v>
      </c>
      <c r="B35" s="2354">
        <v>7</v>
      </c>
      <c r="C35" s="2355">
        <v>9</v>
      </c>
      <c r="D35" s="2355">
        <v>334144</v>
      </c>
      <c r="E35" s="2356">
        <v>89783</v>
      </c>
      <c r="F35" s="2354">
        <v>15</v>
      </c>
      <c r="G35" s="2355">
        <v>19</v>
      </c>
      <c r="H35" s="2355">
        <v>2039083</v>
      </c>
      <c r="I35" s="2356">
        <v>763959</v>
      </c>
      <c r="J35" s="2354">
        <v>8</v>
      </c>
      <c r="K35" s="2355">
        <v>8</v>
      </c>
      <c r="L35" s="2355">
        <v>26652</v>
      </c>
      <c r="M35" s="2356">
        <v>13324</v>
      </c>
      <c r="N35" s="2354">
        <f t="shared" si="0"/>
        <v>30</v>
      </c>
      <c r="O35" s="2355">
        <f t="shared" si="0"/>
        <v>36</v>
      </c>
      <c r="P35" s="2355">
        <f t="shared" si="0"/>
        <v>2399879</v>
      </c>
      <c r="Q35" s="2356">
        <f t="shared" si="0"/>
        <v>867066</v>
      </c>
    </row>
    <row r="36" spans="1:19" s="2361" customFormat="1" ht="15" customHeight="1">
      <c r="A36" s="2353">
        <v>19</v>
      </c>
      <c r="B36" s="2354">
        <v>4</v>
      </c>
      <c r="C36" s="2355">
        <v>5</v>
      </c>
      <c r="D36" s="2355">
        <v>272440</v>
      </c>
      <c r="E36" s="2356">
        <v>80080</v>
      </c>
      <c r="F36" s="2354">
        <v>9</v>
      </c>
      <c r="G36" s="2355">
        <v>11</v>
      </c>
      <c r="H36" s="2355">
        <v>1406316</v>
      </c>
      <c r="I36" s="2356">
        <v>468116</v>
      </c>
      <c r="J36" s="2354">
        <v>3</v>
      </c>
      <c r="K36" s="2355">
        <v>3</v>
      </c>
      <c r="L36" s="2355">
        <v>8631</v>
      </c>
      <c r="M36" s="2356">
        <v>4315</v>
      </c>
      <c r="N36" s="2354">
        <f t="shared" si="0"/>
        <v>16</v>
      </c>
      <c r="O36" s="2355">
        <f t="shared" si="0"/>
        <v>19</v>
      </c>
      <c r="P36" s="2355">
        <f t="shared" si="0"/>
        <v>1687387</v>
      </c>
      <c r="Q36" s="2356">
        <f t="shared" si="0"/>
        <v>552511</v>
      </c>
    </row>
    <row r="37" spans="1:19" s="2361" customFormat="1" ht="15" customHeight="1">
      <c r="A37" s="2357">
        <v>20</v>
      </c>
      <c r="B37" s="2358">
        <v>7</v>
      </c>
      <c r="C37" s="2359">
        <v>7</v>
      </c>
      <c r="D37" s="2359">
        <v>1200300</v>
      </c>
      <c r="E37" s="2360">
        <v>378242</v>
      </c>
      <c r="F37" s="2358">
        <v>9</v>
      </c>
      <c r="G37" s="2359">
        <v>11</v>
      </c>
      <c r="H37" s="2359">
        <v>1492306</v>
      </c>
      <c r="I37" s="2360">
        <v>469496</v>
      </c>
      <c r="J37" s="2358"/>
      <c r="K37" s="2359"/>
      <c r="L37" s="2359"/>
      <c r="M37" s="2360"/>
      <c r="N37" s="2358">
        <f t="shared" si="0"/>
        <v>16</v>
      </c>
      <c r="O37" s="2359">
        <f t="shared" si="0"/>
        <v>18</v>
      </c>
      <c r="P37" s="2359">
        <f t="shared" si="0"/>
        <v>2692606</v>
      </c>
      <c r="Q37" s="2360">
        <f t="shared" si="0"/>
        <v>847738</v>
      </c>
    </row>
    <row r="38" spans="1:19" s="2361" customFormat="1" ht="15" customHeight="1">
      <c r="A38" s="2349">
        <v>21</v>
      </c>
      <c r="B38" s="2350">
        <v>11</v>
      </c>
      <c r="C38" s="2351">
        <v>13</v>
      </c>
      <c r="D38" s="2351">
        <v>1099691</v>
      </c>
      <c r="E38" s="2352">
        <v>287577</v>
      </c>
      <c r="F38" s="2350">
        <v>14</v>
      </c>
      <c r="G38" s="2351">
        <v>16</v>
      </c>
      <c r="H38" s="2351">
        <v>1501270</v>
      </c>
      <c r="I38" s="2352">
        <v>418887</v>
      </c>
      <c r="J38" s="2350">
        <v>1</v>
      </c>
      <c r="K38" s="2351">
        <v>1</v>
      </c>
      <c r="L38" s="2351">
        <v>1940</v>
      </c>
      <c r="M38" s="2352">
        <v>923.81</v>
      </c>
      <c r="N38" s="2350">
        <v>22</v>
      </c>
      <c r="O38" s="2351">
        <v>30</v>
      </c>
      <c r="P38" s="2351">
        <f t="shared" si="0"/>
        <v>2602901</v>
      </c>
      <c r="Q38" s="2352">
        <f t="shared" si="0"/>
        <v>707387.81</v>
      </c>
    </row>
    <row r="39" spans="1:19" s="2361" customFormat="1" ht="15" customHeight="1">
      <c r="A39" s="2349">
        <v>22</v>
      </c>
      <c r="B39" s="2350">
        <v>14</v>
      </c>
      <c r="C39" s="2351">
        <v>19</v>
      </c>
      <c r="D39" s="2351">
        <v>1309900</v>
      </c>
      <c r="E39" s="2352">
        <v>382165</v>
      </c>
      <c r="F39" s="2350">
        <v>13</v>
      </c>
      <c r="G39" s="2351">
        <v>15</v>
      </c>
      <c r="H39" s="2351">
        <v>1148812</v>
      </c>
      <c r="I39" s="2352">
        <v>336385</v>
      </c>
      <c r="J39" s="2350"/>
      <c r="K39" s="2351"/>
      <c r="L39" s="2351"/>
      <c r="M39" s="2352"/>
      <c r="N39" s="2350">
        <v>22</v>
      </c>
      <c r="O39" s="2351">
        <v>34</v>
      </c>
      <c r="P39" s="2351">
        <f t="shared" si="0"/>
        <v>2458712</v>
      </c>
      <c r="Q39" s="2352">
        <f t="shared" si="0"/>
        <v>718550</v>
      </c>
    </row>
    <row r="40" spans="1:19" s="2361" customFormat="1" ht="15" customHeight="1">
      <c r="A40" s="2353">
        <v>23</v>
      </c>
      <c r="B40" s="2354">
        <v>13</v>
      </c>
      <c r="C40" s="2355">
        <v>17</v>
      </c>
      <c r="D40" s="2355">
        <v>1399657.5</v>
      </c>
      <c r="E40" s="2356">
        <v>436432</v>
      </c>
      <c r="F40" s="2354">
        <v>15</v>
      </c>
      <c r="G40" s="2355">
        <v>16</v>
      </c>
      <c r="H40" s="2355">
        <v>1128836.25</v>
      </c>
      <c r="I40" s="2356">
        <v>354830</v>
      </c>
      <c r="J40" s="2354">
        <v>1</v>
      </c>
      <c r="K40" s="2355">
        <v>4</v>
      </c>
      <c r="L40" s="2355">
        <v>191976.97399999999</v>
      </c>
      <c r="M40" s="2356">
        <v>168875</v>
      </c>
      <c r="N40" s="2354">
        <v>23</v>
      </c>
      <c r="O40" s="2355">
        <f>+C40+G40+K40</f>
        <v>37</v>
      </c>
      <c r="P40" s="2355">
        <f t="shared" si="0"/>
        <v>2720470.7239999999</v>
      </c>
      <c r="Q40" s="2356">
        <f t="shared" si="0"/>
        <v>960137</v>
      </c>
    </row>
    <row r="41" spans="1:19" s="2361" customFormat="1" ht="15" customHeight="1">
      <c r="A41" s="2353">
        <v>24</v>
      </c>
      <c r="B41" s="2354">
        <v>8</v>
      </c>
      <c r="C41" s="2355">
        <v>14</v>
      </c>
      <c r="D41" s="2355">
        <v>856182</v>
      </c>
      <c r="E41" s="2356">
        <v>249687</v>
      </c>
      <c r="F41" s="2354">
        <v>19</v>
      </c>
      <c r="G41" s="2355">
        <v>20</v>
      </c>
      <c r="H41" s="2355">
        <v>1764689.8</v>
      </c>
      <c r="I41" s="2356">
        <v>559083</v>
      </c>
      <c r="J41" s="2354">
        <v>1</v>
      </c>
      <c r="K41" s="2355">
        <v>1</v>
      </c>
      <c r="L41" s="2355">
        <v>3522.75</v>
      </c>
      <c r="M41" s="2356">
        <v>1761</v>
      </c>
      <c r="N41" s="2354">
        <v>22</v>
      </c>
      <c r="O41" s="2355">
        <f t="shared" ref="O41:O49" si="1">C41+G41+K41</f>
        <v>35</v>
      </c>
      <c r="P41" s="2355">
        <f t="shared" si="0"/>
        <v>2624394.5499999998</v>
      </c>
      <c r="Q41" s="2356">
        <f t="shared" si="0"/>
        <v>810531</v>
      </c>
    </row>
    <row r="42" spans="1:19" s="2361" customFormat="1" ht="15" customHeight="1">
      <c r="A42" s="2357">
        <v>25</v>
      </c>
      <c r="B42" s="2358">
        <v>6</v>
      </c>
      <c r="C42" s="2359">
        <v>11</v>
      </c>
      <c r="D42" s="2359">
        <v>819654</v>
      </c>
      <c r="E42" s="2360">
        <v>234961</v>
      </c>
      <c r="F42" s="2358">
        <v>18</v>
      </c>
      <c r="G42" s="2359">
        <v>21</v>
      </c>
      <c r="H42" s="2359">
        <v>1110063</v>
      </c>
      <c r="I42" s="2360">
        <v>321479</v>
      </c>
      <c r="J42" s="2358">
        <v>2</v>
      </c>
      <c r="K42" s="2359">
        <v>2</v>
      </c>
      <c r="L42" s="2359">
        <v>26692</v>
      </c>
      <c r="M42" s="2360">
        <v>13346</v>
      </c>
      <c r="N42" s="2358">
        <v>22</v>
      </c>
      <c r="O42" s="2359">
        <f t="shared" si="1"/>
        <v>34</v>
      </c>
      <c r="P42" s="2359">
        <f t="shared" si="0"/>
        <v>1956409</v>
      </c>
      <c r="Q42" s="2360">
        <f t="shared" si="0"/>
        <v>569786</v>
      </c>
      <c r="S42" s="2361" t="s">
        <v>2393</v>
      </c>
    </row>
    <row r="43" spans="1:19" s="2361" customFormat="1" ht="15" customHeight="1">
      <c r="A43" s="2362">
        <v>26</v>
      </c>
      <c r="B43" s="2363">
        <v>8</v>
      </c>
      <c r="C43" s="2364">
        <v>10</v>
      </c>
      <c r="D43" s="2364">
        <f>436708+107313</f>
        <v>544021</v>
      </c>
      <c r="E43" s="2365">
        <f>112381+35771</f>
        <v>148152</v>
      </c>
      <c r="F43" s="2363">
        <v>16</v>
      </c>
      <c r="G43" s="2364">
        <v>17</v>
      </c>
      <c r="H43" s="2364">
        <f>629449+87480</f>
        <v>716929</v>
      </c>
      <c r="I43" s="2365">
        <f>202875+29160</f>
        <v>232035</v>
      </c>
      <c r="J43" s="2363">
        <v>5</v>
      </c>
      <c r="K43" s="2364">
        <v>5</v>
      </c>
      <c r="L43" s="2364">
        <f>46283+15975</f>
        <v>62258</v>
      </c>
      <c r="M43" s="2365">
        <f>7978+24040</f>
        <v>32018</v>
      </c>
      <c r="N43" s="2363">
        <v>22</v>
      </c>
      <c r="O43" s="2364">
        <f t="shared" si="1"/>
        <v>32</v>
      </c>
      <c r="P43" s="2364">
        <f t="shared" si="0"/>
        <v>1323208</v>
      </c>
      <c r="Q43" s="2365">
        <f t="shared" si="0"/>
        <v>412205</v>
      </c>
      <c r="S43" s="2361" t="s">
        <v>2393</v>
      </c>
    </row>
    <row r="44" spans="1:19" s="2361" customFormat="1" ht="15" customHeight="1">
      <c r="A44" s="2353">
        <v>27</v>
      </c>
      <c r="B44" s="2354">
        <v>6</v>
      </c>
      <c r="C44" s="2355">
        <v>7</v>
      </c>
      <c r="D44" s="2355">
        <v>322583</v>
      </c>
      <c r="E44" s="2356">
        <f>93674+11214</f>
        <v>104888</v>
      </c>
      <c r="F44" s="2354">
        <v>14</v>
      </c>
      <c r="G44" s="2355">
        <v>14</v>
      </c>
      <c r="H44" s="2355">
        <v>725010</v>
      </c>
      <c r="I44" s="2356">
        <v>229440</v>
      </c>
      <c r="J44" s="2354">
        <v>3</v>
      </c>
      <c r="K44" s="2355">
        <v>3</v>
      </c>
      <c r="L44" s="2355">
        <f>7916+52936</f>
        <v>60852</v>
      </c>
      <c r="M44" s="2356">
        <f>3958+30689</f>
        <v>34647</v>
      </c>
      <c r="N44" s="2354">
        <f t="shared" ref="N44:N49" si="2">+B44+F44+J44</f>
        <v>23</v>
      </c>
      <c r="O44" s="2355">
        <f t="shared" si="1"/>
        <v>24</v>
      </c>
      <c r="P44" s="2355">
        <f t="shared" si="0"/>
        <v>1108445</v>
      </c>
      <c r="Q44" s="2356">
        <f t="shared" si="0"/>
        <v>368975</v>
      </c>
      <c r="S44" s="2361" t="s">
        <v>2393</v>
      </c>
    </row>
    <row r="45" spans="1:19" s="2361" customFormat="1" ht="15" customHeight="1">
      <c r="A45" s="2366">
        <v>28</v>
      </c>
      <c r="B45" s="2354">
        <v>5</v>
      </c>
      <c r="C45" s="2355">
        <v>5</v>
      </c>
      <c r="D45" s="2355">
        <v>297290</v>
      </c>
      <c r="E45" s="2356">
        <v>83438</v>
      </c>
      <c r="F45" s="2354">
        <v>2</v>
      </c>
      <c r="G45" s="2355">
        <v>3</v>
      </c>
      <c r="H45" s="2355">
        <v>228347</v>
      </c>
      <c r="I45" s="2356">
        <v>64390</v>
      </c>
      <c r="J45" s="2354"/>
      <c r="K45" s="2355"/>
      <c r="L45" s="2355"/>
      <c r="M45" s="2356"/>
      <c r="N45" s="2354">
        <f t="shared" si="2"/>
        <v>7</v>
      </c>
      <c r="O45" s="2355">
        <f t="shared" si="1"/>
        <v>8</v>
      </c>
      <c r="P45" s="2355">
        <f t="shared" ref="P45:Q50" si="3">+D45+H45+L45</f>
        <v>525637</v>
      </c>
      <c r="Q45" s="2356">
        <f t="shared" si="3"/>
        <v>147828</v>
      </c>
      <c r="S45" s="2361" t="s">
        <v>2393</v>
      </c>
    </row>
    <row r="46" spans="1:19" s="2361" customFormat="1" ht="15" customHeight="1">
      <c r="A46" s="2353">
        <v>29</v>
      </c>
      <c r="B46" s="2354">
        <v>1</v>
      </c>
      <c r="C46" s="2355">
        <v>1</v>
      </c>
      <c r="D46" s="2355">
        <v>183000</v>
      </c>
      <c r="E46" s="2356">
        <v>45750</v>
      </c>
      <c r="F46" s="2354">
        <v>13</v>
      </c>
      <c r="G46" s="2355">
        <v>13</v>
      </c>
      <c r="H46" s="2355">
        <v>1172545</v>
      </c>
      <c r="I46" s="2356">
        <v>350174</v>
      </c>
      <c r="J46" s="2354"/>
      <c r="K46" s="2355"/>
      <c r="L46" s="2355"/>
      <c r="M46" s="2356"/>
      <c r="N46" s="2354">
        <f t="shared" si="2"/>
        <v>14</v>
      </c>
      <c r="O46" s="2355">
        <f t="shared" si="1"/>
        <v>14</v>
      </c>
      <c r="P46" s="2355">
        <f t="shared" si="3"/>
        <v>1355545</v>
      </c>
      <c r="Q46" s="2356">
        <f t="shared" si="3"/>
        <v>395924</v>
      </c>
      <c r="S46" s="2361" t="s">
        <v>2393</v>
      </c>
    </row>
    <row r="47" spans="1:19" s="2361" customFormat="1" ht="15" customHeight="1">
      <c r="A47" s="2357">
        <v>30</v>
      </c>
      <c r="B47" s="2358">
        <v>0</v>
      </c>
      <c r="C47" s="2359">
        <v>0</v>
      </c>
      <c r="D47" s="2359">
        <v>0</v>
      </c>
      <c r="E47" s="2360">
        <v>0</v>
      </c>
      <c r="F47" s="2358">
        <v>0</v>
      </c>
      <c r="G47" s="2359">
        <v>0</v>
      </c>
      <c r="H47" s="2359">
        <v>0</v>
      </c>
      <c r="I47" s="2360">
        <v>0</v>
      </c>
      <c r="J47" s="2358">
        <v>2</v>
      </c>
      <c r="K47" s="2359">
        <v>2</v>
      </c>
      <c r="L47" s="2359">
        <v>40365</v>
      </c>
      <c r="M47" s="2360">
        <v>26910</v>
      </c>
      <c r="N47" s="2358">
        <f t="shared" si="2"/>
        <v>2</v>
      </c>
      <c r="O47" s="2359">
        <f t="shared" si="1"/>
        <v>2</v>
      </c>
      <c r="P47" s="2359">
        <f t="shared" si="3"/>
        <v>40365</v>
      </c>
      <c r="Q47" s="2360">
        <f t="shared" si="3"/>
        <v>26910</v>
      </c>
      <c r="S47" s="2361" t="s">
        <v>2393</v>
      </c>
    </row>
    <row r="48" spans="1:19" s="2361" customFormat="1" ht="15" customHeight="1">
      <c r="A48" s="2345" t="s">
        <v>2394</v>
      </c>
      <c r="B48" s="2346">
        <v>0</v>
      </c>
      <c r="C48" s="2347">
        <v>0</v>
      </c>
      <c r="D48" s="2347">
        <v>0</v>
      </c>
      <c r="E48" s="2348">
        <v>0</v>
      </c>
      <c r="F48" s="2346">
        <v>0</v>
      </c>
      <c r="G48" s="2347">
        <v>0</v>
      </c>
      <c r="H48" s="2347">
        <v>0</v>
      </c>
      <c r="I48" s="2348">
        <v>0</v>
      </c>
      <c r="J48" s="2346">
        <v>0</v>
      </c>
      <c r="K48" s="2347">
        <v>0</v>
      </c>
      <c r="L48" s="2347">
        <v>0</v>
      </c>
      <c r="M48" s="2348">
        <v>0</v>
      </c>
      <c r="N48" s="2346">
        <f t="shared" si="2"/>
        <v>0</v>
      </c>
      <c r="O48" s="2347">
        <f t="shared" si="1"/>
        <v>0</v>
      </c>
      <c r="P48" s="2347">
        <f t="shared" si="3"/>
        <v>0</v>
      </c>
      <c r="Q48" s="2348">
        <f t="shared" si="3"/>
        <v>0</v>
      </c>
      <c r="S48" s="2361" t="s">
        <v>2393</v>
      </c>
    </row>
    <row r="49" spans="1:19" s="2361" customFormat="1" ht="15" customHeight="1">
      <c r="A49" s="2367">
        <v>2</v>
      </c>
      <c r="B49" s="2368">
        <v>1</v>
      </c>
      <c r="C49" s="2369">
        <v>1</v>
      </c>
      <c r="D49" s="2369">
        <v>58040</v>
      </c>
      <c r="E49" s="2370">
        <v>14510</v>
      </c>
      <c r="F49" s="2368">
        <v>0</v>
      </c>
      <c r="G49" s="2369">
        <v>0</v>
      </c>
      <c r="H49" s="2369">
        <v>0</v>
      </c>
      <c r="I49" s="2370">
        <v>0</v>
      </c>
      <c r="J49" s="2368">
        <v>6</v>
      </c>
      <c r="K49" s="2369">
        <v>6</v>
      </c>
      <c r="L49" s="2369">
        <f>10890+108249+139468+28171+4385+1045</f>
        <v>292208</v>
      </c>
      <c r="M49" s="2370">
        <f>4385+57570+55927+10103+2117+522</f>
        <v>130624</v>
      </c>
      <c r="N49" s="2368">
        <f t="shared" si="2"/>
        <v>7</v>
      </c>
      <c r="O49" s="2369">
        <f t="shared" si="1"/>
        <v>7</v>
      </c>
      <c r="P49" s="2369">
        <f t="shared" si="3"/>
        <v>350248</v>
      </c>
      <c r="Q49" s="2370">
        <f t="shared" si="3"/>
        <v>145134</v>
      </c>
      <c r="S49" s="2361" t="s">
        <v>2393</v>
      </c>
    </row>
    <row r="50" spans="1:19" ht="11.5" customHeight="1"/>
    <row r="51" spans="1:19" ht="18" customHeight="1">
      <c r="A51" s="2322" t="s">
        <v>1345</v>
      </c>
      <c r="B51" s="2323"/>
      <c r="C51" s="2323"/>
      <c r="D51" s="2323"/>
      <c r="E51" s="2323"/>
      <c r="F51" s="2324"/>
      <c r="G51" s="2325"/>
      <c r="H51" s="2325"/>
      <c r="I51" s="2325"/>
      <c r="J51" s="2325"/>
      <c r="K51" s="2325"/>
      <c r="L51" s="2323"/>
      <c r="M51" s="2323"/>
    </row>
    <row r="52" spans="1:19" ht="15.75" customHeight="1">
      <c r="A52" s="2326" t="s">
        <v>197</v>
      </c>
      <c r="B52" s="2327" t="s">
        <v>1346</v>
      </c>
      <c r="C52" s="2328"/>
      <c r="D52" s="2328"/>
      <c r="E52" s="2329"/>
      <c r="F52" s="2327" t="s">
        <v>101</v>
      </c>
      <c r="G52" s="2328"/>
      <c r="H52" s="2328"/>
      <c r="I52" s="2329"/>
      <c r="J52" s="2372"/>
      <c r="K52" s="2373"/>
      <c r="L52" s="2373"/>
      <c r="M52" s="2373"/>
    </row>
    <row r="53" spans="1:19" ht="15.75" customHeight="1">
      <c r="A53" s="2331"/>
      <c r="B53" s="2332" t="s">
        <v>1341</v>
      </c>
      <c r="C53" s="2333" t="s">
        <v>1342</v>
      </c>
      <c r="D53" s="2334" t="s">
        <v>1343</v>
      </c>
      <c r="E53" s="2335" t="s">
        <v>1344</v>
      </c>
      <c r="F53" s="2332" t="s">
        <v>1341</v>
      </c>
      <c r="G53" s="2333" t="s">
        <v>1342</v>
      </c>
      <c r="H53" s="2334" t="s">
        <v>1343</v>
      </c>
      <c r="I53" s="2335" t="s">
        <v>1344</v>
      </c>
      <c r="J53" s="2372"/>
      <c r="K53" s="2373"/>
      <c r="L53" s="2373"/>
      <c r="M53" s="2373"/>
    </row>
    <row r="54" spans="1:19" ht="15.75" customHeight="1">
      <c r="A54" s="2331"/>
      <c r="B54" s="2336"/>
      <c r="C54" s="2337"/>
      <c r="D54" s="2338"/>
      <c r="E54" s="2339"/>
      <c r="F54" s="2336"/>
      <c r="G54" s="2337"/>
      <c r="H54" s="2338"/>
      <c r="I54" s="2339"/>
      <c r="J54" s="2372"/>
      <c r="K54" s="2373"/>
      <c r="L54" s="2373"/>
      <c r="M54" s="2373"/>
    </row>
    <row r="55" spans="1:19" ht="12" customHeight="1">
      <c r="A55" s="2340"/>
      <c r="B55" s="2341"/>
      <c r="C55" s="2342"/>
      <c r="D55" s="2343"/>
      <c r="E55" s="2344"/>
      <c r="F55" s="2341"/>
      <c r="G55" s="2342"/>
      <c r="H55" s="2343"/>
      <c r="I55" s="2344"/>
      <c r="J55" s="2372"/>
      <c r="K55" s="2373"/>
      <c r="L55" s="2373"/>
      <c r="M55" s="2373"/>
    </row>
    <row r="56" spans="1:19" ht="15" customHeight="1">
      <c r="A56" s="2362" t="s">
        <v>2395</v>
      </c>
      <c r="B56" s="2374">
        <v>7</v>
      </c>
      <c r="C56" s="2375">
        <v>8</v>
      </c>
      <c r="D56" s="2375">
        <v>945349</v>
      </c>
      <c r="E56" s="2376">
        <v>246289</v>
      </c>
      <c r="F56" s="2374">
        <f t="shared" ref="F56:I61" si="4">+B56</f>
        <v>7</v>
      </c>
      <c r="G56" s="2375">
        <f t="shared" si="4"/>
        <v>8</v>
      </c>
      <c r="H56" s="2375">
        <f t="shared" si="4"/>
        <v>945349</v>
      </c>
      <c r="I56" s="2376">
        <f t="shared" si="4"/>
        <v>246289</v>
      </c>
      <c r="J56" s="2321" t="s">
        <v>1347</v>
      </c>
    </row>
    <row r="57" spans="1:19" ht="15" customHeight="1">
      <c r="A57" s="2377">
        <v>28</v>
      </c>
      <c r="B57" s="2354">
        <v>23</v>
      </c>
      <c r="C57" s="2355">
        <v>25</v>
      </c>
      <c r="D57" s="2355">
        <v>1777767</v>
      </c>
      <c r="E57" s="2356">
        <v>535471</v>
      </c>
      <c r="F57" s="2354">
        <f t="shared" si="4"/>
        <v>23</v>
      </c>
      <c r="G57" s="2355">
        <f t="shared" si="4"/>
        <v>25</v>
      </c>
      <c r="H57" s="2355">
        <f t="shared" si="4"/>
        <v>1777767</v>
      </c>
      <c r="I57" s="2356">
        <f t="shared" si="4"/>
        <v>535471</v>
      </c>
    </row>
    <row r="58" spans="1:19" ht="15" customHeight="1">
      <c r="A58" s="2377">
        <v>29</v>
      </c>
      <c r="B58" s="2354">
        <v>7</v>
      </c>
      <c r="C58" s="2355">
        <v>10</v>
      </c>
      <c r="D58" s="2355">
        <v>408077</v>
      </c>
      <c r="E58" s="2356">
        <v>108200</v>
      </c>
      <c r="F58" s="2354">
        <f t="shared" si="4"/>
        <v>7</v>
      </c>
      <c r="G58" s="2355">
        <f t="shared" si="4"/>
        <v>10</v>
      </c>
      <c r="H58" s="2355">
        <f t="shared" si="4"/>
        <v>408077</v>
      </c>
      <c r="I58" s="2356">
        <f t="shared" si="4"/>
        <v>108200</v>
      </c>
    </row>
    <row r="59" spans="1:19" ht="15" customHeight="1">
      <c r="A59" s="2378">
        <v>30</v>
      </c>
      <c r="B59" s="2358">
        <v>18</v>
      </c>
      <c r="C59" s="2359">
        <v>21</v>
      </c>
      <c r="D59" s="2359">
        <v>1619114</v>
      </c>
      <c r="E59" s="2360">
        <v>471839</v>
      </c>
      <c r="F59" s="2358">
        <f t="shared" si="4"/>
        <v>18</v>
      </c>
      <c r="G59" s="2359">
        <f t="shared" si="4"/>
        <v>21</v>
      </c>
      <c r="H59" s="2359">
        <f t="shared" si="4"/>
        <v>1619114</v>
      </c>
      <c r="I59" s="2360">
        <f t="shared" si="4"/>
        <v>471839</v>
      </c>
    </row>
    <row r="60" spans="1:19" ht="15" customHeight="1">
      <c r="A60" s="2379" t="s">
        <v>2394</v>
      </c>
      <c r="B60" s="2346">
        <v>20</v>
      </c>
      <c r="C60" s="2347">
        <v>25</v>
      </c>
      <c r="D60" s="2347">
        <v>1969376</v>
      </c>
      <c r="E60" s="2348">
        <v>561630</v>
      </c>
      <c r="F60" s="2346">
        <f t="shared" si="4"/>
        <v>20</v>
      </c>
      <c r="G60" s="2347">
        <f t="shared" si="4"/>
        <v>25</v>
      </c>
      <c r="H60" s="2347">
        <f t="shared" si="4"/>
        <v>1969376</v>
      </c>
      <c r="I60" s="2348">
        <f t="shared" si="4"/>
        <v>561630</v>
      </c>
    </row>
    <row r="61" spans="1:19" ht="15" customHeight="1">
      <c r="A61" s="2380">
        <v>2</v>
      </c>
      <c r="B61" s="2381">
        <v>19</v>
      </c>
      <c r="C61" s="2382">
        <v>23</v>
      </c>
      <c r="D61" s="2382">
        <v>1674790</v>
      </c>
      <c r="E61" s="2383">
        <v>490699</v>
      </c>
      <c r="F61" s="2381">
        <f t="shared" si="4"/>
        <v>19</v>
      </c>
      <c r="G61" s="2382">
        <f t="shared" si="4"/>
        <v>23</v>
      </c>
      <c r="H61" s="2382">
        <f t="shared" si="4"/>
        <v>1674790</v>
      </c>
      <c r="I61" s="2383">
        <f t="shared" si="4"/>
        <v>490699</v>
      </c>
    </row>
  </sheetData>
  <mergeCells count="37">
    <mergeCell ref="I53:I55"/>
    <mergeCell ref="J53:J55"/>
    <mergeCell ref="K53:K55"/>
    <mergeCell ref="L53:L55"/>
    <mergeCell ref="M53:M55"/>
    <mergeCell ref="C53:C55"/>
    <mergeCell ref="D53:D55"/>
    <mergeCell ref="E53:E55"/>
    <mergeCell ref="F53:F55"/>
    <mergeCell ref="G53:G55"/>
    <mergeCell ref="H53:H55"/>
    <mergeCell ref="M5:M7"/>
    <mergeCell ref="N5:N7"/>
    <mergeCell ref="O5:O7"/>
    <mergeCell ref="P5:P7"/>
    <mergeCell ref="Q5:Q7"/>
    <mergeCell ref="A52:A55"/>
    <mergeCell ref="B52:E52"/>
    <mergeCell ref="F52:I52"/>
    <mergeCell ref="J52:M52"/>
    <mergeCell ref="B53:B55"/>
    <mergeCell ref="G5:G7"/>
    <mergeCell ref="H5:H7"/>
    <mergeCell ref="I5:I7"/>
    <mergeCell ref="J5:J7"/>
    <mergeCell ref="K5:K7"/>
    <mergeCell ref="L5:L7"/>
    <mergeCell ref="A4:A7"/>
    <mergeCell ref="B4:E4"/>
    <mergeCell ref="F4:I4"/>
    <mergeCell ref="J4:M4"/>
    <mergeCell ref="N4:Q4"/>
    <mergeCell ref="B5:B7"/>
    <mergeCell ref="C5:C7"/>
    <mergeCell ref="D5:D7"/>
    <mergeCell ref="E5:E7"/>
    <mergeCell ref="F5:F7"/>
  </mergeCells>
  <phoneticPr fontId="6"/>
  <printOptions horizontalCentered="1" gridLinesSet="0"/>
  <pageMargins left="0.70866141732283472" right="0.70866141732283472" top="0.74803149606299213" bottom="0.74803149606299213" header="0.31496062992125984" footer="0.31496062992125984"/>
  <pageSetup paperSize="9" scale="85" orientation="portrait" horizontalDpi="300" verticalDpi="300"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B6EFD-7397-45BB-88C8-D4E0BB060CE6}">
  <dimension ref="A1:J13"/>
  <sheetViews>
    <sheetView view="pageBreakPreview" zoomScaleNormal="100" workbookViewId="0"/>
  </sheetViews>
  <sheetFormatPr defaultColWidth="9" defaultRowHeight="25" customHeight="1"/>
  <cols>
    <col min="1" max="1" width="7.6328125" style="2388" customWidth="1"/>
    <col min="2" max="2" width="10.453125" style="2388" customWidth="1"/>
    <col min="3" max="3" width="17.26953125" style="2388" customWidth="1"/>
    <col min="4" max="4" width="11" style="2388" customWidth="1"/>
    <col min="5" max="5" width="11.7265625" style="2389" customWidth="1"/>
    <col min="6" max="6" width="11.7265625" style="2390" customWidth="1"/>
    <col min="7" max="7" width="14.08984375" style="2390" customWidth="1"/>
    <col min="8" max="8" width="13.08984375" style="2390" customWidth="1"/>
    <col min="9" max="10" width="9" style="2390"/>
    <col min="11" max="256" width="9" style="2391"/>
    <col min="257" max="257" width="7.6328125" style="2391" customWidth="1"/>
    <col min="258" max="258" width="10.453125" style="2391" customWidth="1"/>
    <col min="259" max="259" width="17.26953125" style="2391" customWidth="1"/>
    <col min="260" max="260" width="11" style="2391" customWidth="1"/>
    <col min="261" max="262" width="11.7265625" style="2391" customWidth="1"/>
    <col min="263" max="263" width="14.08984375" style="2391" customWidth="1"/>
    <col min="264" max="264" width="13.08984375" style="2391" customWidth="1"/>
    <col min="265" max="512" width="9" style="2391"/>
    <col min="513" max="513" width="7.6328125" style="2391" customWidth="1"/>
    <col min="514" max="514" width="10.453125" style="2391" customWidth="1"/>
    <col min="515" max="515" width="17.26953125" style="2391" customWidth="1"/>
    <col min="516" max="516" width="11" style="2391" customWidth="1"/>
    <col min="517" max="518" width="11.7265625" style="2391" customWidth="1"/>
    <col min="519" max="519" width="14.08984375" style="2391" customWidth="1"/>
    <col min="520" max="520" width="13.08984375" style="2391" customWidth="1"/>
    <col min="521" max="768" width="9" style="2391"/>
    <col min="769" max="769" width="7.6328125" style="2391" customWidth="1"/>
    <col min="770" max="770" width="10.453125" style="2391" customWidth="1"/>
    <col min="771" max="771" width="17.26953125" style="2391" customWidth="1"/>
    <col min="772" max="772" width="11" style="2391" customWidth="1"/>
    <col min="773" max="774" width="11.7265625" style="2391" customWidth="1"/>
    <col min="775" max="775" width="14.08984375" style="2391" customWidth="1"/>
    <col min="776" max="776" width="13.08984375" style="2391" customWidth="1"/>
    <col min="777" max="1024" width="9" style="2391"/>
    <col min="1025" max="1025" width="7.6328125" style="2391" customWidth="1"/>
    <col min="1026" max="1026" width="10.453125" style="2391" customWidth="1"/>
    <col min="1027" max="1027" width="17.26953125" style="2391" customWidth="1"/>
    <col min="1028" max="1028" width="11" style="2391" customWidth="1"/>
    <col min="1029" max="1030" width="11.7265625" style="2391" customWidth="1"/>
    <col min="1031" max="1031" width="14.08984375" style="2391" customWidth="1"/>
    <col min="1032" max="1032" width="13.08984375" style="2391" customWidth="1"/>
    <col min="1033" max="1280" width="9" style="2391"/>
    <col min="1281" max="1281" width="7.6328125" style="2391" customWidth="1"/>
    <col min="1282" max="1282" width="10.453125" style="2391" customWidth="1"/>
    <col min="1283" max="1283" width="17.26953125" style="2391" customWidth="1"/>
    <col min="1284" max="1284" width="11" style="2391" customWidth="1"/>
    <col min="1285" max="1286" width="11.7265625" style="2391" customWidth="1"/>
    <col min="1287" max="1287" width="14.08984375" style="2391" customWidth="1"/>
    <col min="1288" max="1288" width="13.08984375" style="2391" customWidth="1"/>
    <col min="1289" max="1536" width="9" style="2391"/>
    <col min="1537" max="1537" width="7.6328125" style="2391" customWidth="1"/>
    <col min="1538" max="1538" width="10.453125" style="2391" customWidth="1"/>
    <col min="1539" max="1539" width="17.26953125" style="2391" customWidth="1"/>
    <col min="1540" max="1540" width="11" style="2391" customWidth="1"/>
    <col min="1541" max="1542" width="11.7265625" style="2391" customWidth="1"/>
    <col min="1543" max="1543" width="14.08984375" style="2391" customWidth="1"/>
    <col min="1544" max="1544" width="13.08984375" style="2391" customWidth="1"/>
    <col min="1545" max="1792" width="9" style="2391"/>
    <col min="1793" max="1793" width="7.6328125" style="2391" customWidth="1"/>
    <col min="1794" max="1794" width="10.453125" style="2391" customWidth="1"/>
    <col min="1795" max="1795" width="17.26953125" style="2391" customWidth="1"/>
    <col min="1796" max="1796" width="11" style="2391" customWidth="1"/>
    <col min="1797" max="1798" width="11.7265625" style="2391" customWidth="1"/>
    <col min="1799" max="1799" width="14.08984375" style="2391" customWidth="1"/>
    <col min="1800" max="1800" width="13.08984375" style="2391" customWidth="1"/>
    <col min="1801" max="2048" width="9" style="2391"/>
    <col min="2049" max="2049" width="7.6328125" style="2391" customWidth="1"/>
    <col min="2050" max="2050" width="10.453125" style="2391" customWidth="1"/>
    <col min="2051" max="2051" width="17.26953125" style="2391" customWidth="1"/>
    <col min="2052" max="2052" width="11" style="2391" customWidth="1"/>
    <col min="2053" max="2054" width="11.7265625" style="2391" customWidth="1"/>
    <col min="2055" max="2055" width="14.08984375" style="2391" customWidth="1"/>
    <col min="2056" max="2056" width="13.08984375" style="2391" customWidth="1"/>
    <col min="2057" max="2304" width="9" style="2391"/>
    <col min="2305" max="2305" width="7.6328125" style="2391" customWidth="1"/>
    <col min="2306" max="2306" width="10.453125" style="2391" customWidth="1"/>
    <col min="2307" max="2307" width="17.26953125" style="2391" customWidth="1"/>
    <col min="2308" max="2308" width="11" style="2391" customWidth="1"/>
    <col min="2309" max="2310" width="11.7265625" style="2391" customWidth="1"/>
    <col min="2311" max="2311" width="14.08984375" style="2391" customWidth="1"/>
    <col min="2312" max="2312" width="13.08984375" style="2391" customWidth="1"/>
    <col min="2313" max="2560" width="9" style="2391"/>
    <col min="2561" max="2561" width="7.6328125" style="2391" customWidth="1"/>
    <col min="2562" max="2562" width="10.453125" style="2391" customWidth="1"/>
    <col min="2563" max="2563" width="17.26953125" style="2391" customWidth="1"/>
    <col min="2564" max="2564" width="11" style="2391" customWidth="1"/>
    <col min="2565" max="2566" width="11.7265625" style="2391" customWidth="1"/>
    <col min="2567" max="2567" width="14.08984375" style="2391" customWidth="1"/>
    <col min="2568" max="2568" width="13.08984375" style="2391" customWidth="1"/>
    <col min="2569" max="2816" width="9" style="2391"/>
    <col min="2817" max="2817" width="7.6328125" style="2391" customWidth="1"/>
    <col min="2818" max="2818" width="10.453125" style="2391" customWidth="1"/>
    <col min="2819" max="2819" width="17.26953125" style="2391" customWidth="1"/>
    <col min="2820" max="2820" width="11" style="2391" customWidth="1"/>
    <col min="2821" max="2822" width="11.7265625" style="2391" customWidth="1"/>
    <col min="2823" max="2823" width="14.08984375" style="2391" customWidth="1"/>
    <col min="2824" max="2824" width="13.08984375" style="2391" customWidth="1"/>
    <col min="2825" max="3072" width="9" style="2391"/>
    <col min="3073" max="3073" width="7.6328125" style="2391" customWidth="1"/>
    <col min="3074" max="3074" width="10.453125" style="2391" customWidth="1"/>
    <col min="3075" max="3075" width="17.26953125" style="2391" customWidth="1"/>
    <col min="3076" max="3076" width="11" style="2391" customWidth="1"/>
    <col min="3077" max="3078" width="11.7265625" style="2391" customWidth="1"/>
    <col min="3079" max="3079" width="14.08984375" style="2391" customWidth="1"/>
    <col min="3080" max="3080" width="13.08984375" style="2391" customWidth="1"/>
    <col min="3081" max="3328" width="9" style="2391"/>
    <col min="3329" max="3329" width="7.6328125" style="2391" customWidth="1"/>
    <col min="3330" max="3330" width="10.453125" style="2391" customWidth="1"/>
    <col min="3331" max="3331" width="17.26953125" style="2391" customWidth="1"/>
    <col min="3332" max="3332" width="11" style="2391" customWidth="1"/>
    <col min="3333" max="3334" width="11.7265625" style="2391" customWidth="1"/>
    <col min="3335" max="3335" width="14.08984375" style="2391" customWidth="1"/>
    <col min="3336" max="3336" width="13.08984375" style="2391" customWidth="1"/>
    <col min="3337" max="3584" width="9" style="2391"/>
    <col min="3585" max="3585" width="7.6328125" style="2391" customWidth="1"/>
    <col min="3586" max="3586" width="10.453125" style="2391" customWidth="1"/>
    <col min="3587" max="3587" width="17.26953125" style="2391" customWidth="1"/>
    <col min="3588" max="3588" width="11" style="2391" customWidth="1"/>
    <col min="3589" max="3590" width="11.7265625" style="2391" customWidth="1"/>
    <col min="3591" max="3591" width="14.08984375" style="2391" customWidth="1"/>
    <col min="3592" max="3592" width="13.08984375" style="2391" customWidth="1"/>
    <col min="3593" max="3840" width="9" style="2391"/>
    <col min="3841" max="3841" width="7.6328125" style="2391" customWidth="1"/>
    <col min="3842" max="3842" width="10.453125" style="2391" customWidth="1"/>
    <col min="3843" max="3843" width="17.26953125" style="2391" customWidth="1"/>
    <col min="3844" max="3844" width="11" style="2391" customWidth="1"/>
    <col min="3845" max="3846" width="11.7265625" style="2391" customWidth="1"/>
    <col min="3847" max="3847" width="14.08984375" style="2391" customWidth="1"/>
    <col min="3848" max="3848" width="13.08984375" style="2391" customWidth="1"/>
    <col min="3849" max="4096" width="9" style="2391"/>
    <col min="4097" max="4097" width="7.6328125" style="2391" customWidth="1"/>
    <col min="4098" max="4098" width="10.453125" style="2391" customWidth="1"/>
    <col min="4099" max="4099" width="17.26953125" style="2391" customWidth="1"/>
    <col min="4100" max="4100" width="11" style="2391" customWidth="1"/>
    <col min="4101" max="4102" width="11.7265625" style="2391" customWidth="1"/>
    <col min="4103" max="4103" width="14.08984375" style="2391" customWidth="1"/>
    <col min="4104" max="4104" width="13.08984375" style="2391" customWidth="1"/>
    <col min="4105" max="4352" width="9" style="2391"/>
    <col min="4353" max="4353" width="7.6328125" style="2391" customWidth="1"/>
    <col min="4354" max="4354" width="10.453125" style="2391" customWidth="1"/>
    <col min="4355" max="4355" width="17.26953125" style="2391" customWidth="1"/>
    <col min="4356" max="4356" width="11" style="2391" customWidth="1"/>
    <col min="4357" max="4358" width="11.7265625" style="2391" customWidth="1"/>
    <col min="4359" max="4359" width="14.08984375" style="2391" customWidth="1"/>
    <col min="4360" max="4360" width="13.08984375" style="2391" customWidth="1"/>
    <col min="4361" max="4608" width="9" style="2391"/>
    <col min="4609" max="4609" width="7.6328125" style="2391" customWidth="1"/>
    <col min="4610" max="4610" width="10.453125" style="2391" customWidth="1"/>
    <col min="4611" max="4611" width="17.26953125" style="2391" customWidth="1"/>
    <col min="4612" max="4612" width="11" style="2391" customWidth="1"/>
    <col min="4613" max="4614" width="11.7265625" style="2391" customWidth="1"/>
    <col min="4615" max="4615" width="14.08984375" style="2391" customWidth="1"/>
    <col min="4616" max="4616" width="13.08984375" style="2391" customWidth="1"/>
    <col min="4617" max="4864" width="9" style="2391"/>
    <col min="4865" max="4865" width="7.6328125" style="2391" customWidth="1"/>
    <col min="4866" max="4866" width="10.453125" style="2391" customWidth="1"/>
    <col min="4867" max="4867" width="17.26953125" style="2391" customWidth="1"/>
    <col min="4868" max="4868" width="11" style="2391" customWidth="1"/>
    <col min="4869" max="4870" width="11.7265625" style="2391" customWidth="1"/>
    <col min="4871" max="4871" width="14.08984375" style="2391" customWidth="1"/>
    <col min="4872" max="4872" width="13.08984375" style="2391" customWidth="1"/>
    <col min="4873" max="5120" width="9" style="2391"/>
    <col min="5121" max="5121" width="7.6328125" style="2391" customWidth="1"/>
    <col min="5122" max="5122" width="10.453125" style="2391" customWidth="1"/>
    <col min="5123" max="5123" width="17.26953125" style="2391" customWidth="1"/>
    <col min="5124" max="5124" width="11" style="2391" customWidth="1"/>
    <col min="5125" max="5126" width="11.7265625" style="2391" customWidth="1"/>
    <col min="5127" max="5127" width="14.08984375" style="2391" customWidth="1"/>
    <col min="5128" max="5128" width="13.08984375" style="2391" customWidth="1"/>
    <col min="5129" max="5376" width="9" style="2391"/>
    <col min="5377" max="5377" width="7.6328125" style="2391" customWidth="1"/>
    <col min="5378" max="5378" width="10.453125" style="2391" customWidth="1"/>
    <col min="5379" max="5379" width="17.26953125" style="2391" customWidth="1"/>
    <col min="5380" max="5380" width="11" style="2391" customWidth="1"/>
    <col min="5381" max="5382" width="11.7265625" style="2391" customWidth="1"/>
    <col min="5383" max="5383" width="14.08984375" style="2391" customWidth="1"/>
    <col min="5384" max="5384" width="13.08984375" style="2391" customWidth="1"/>
    <col min="5385" max="5632" width="9" style="2391"/>
    <col min="5633" max="5633" width="7.6328125" style="2391" customWidth="1"/>
    <col min="5634" max="5634" width="10.453125" style="2391" customWidth="1"/>
    <col min="5635" max="5635" width="17.26953125" style="2391" customWidth="1"/>
    <col min="5636" max="5636" width="11" style="2391" customWidth="1"/>
    <col min="5637" max="5638" width="11.7265625" style="2391" customWidth="1"/>
    <col min="5639" max="5639" width="14.08984375" style="2391" customWidth="1"/>
    <col min="5640" max="5640" width="13.08984375" style="2391" customWidth="1"/>
    <col min="5641" max="5888" width="9" style="2391"/>
    <col min="5889" max="5889" width="7.6328125" style="2391" customWidth="1"/>
    <col min="5890" max="5890" width="10.453125" style="2391" customWidth="1"/>
    <col min="5891" max="5891" width="17.26953125" style="2391" customWidth="1"/>
    <col min="5892" max="5892" width="11" style="2391" customWidth="1"/>
    <col min="5893" max="5894" width="11.7265625" style="2391" customWidth="1"/>
    <col min="5895" max="5895" width="14.08984375" style="2391" customWidth="1"/>
    <col min="5896" max="5896" width="13.08984375" style="2391" customWidth="1"/>
    <col min="5897" max="6144" width="9" style="2391"/>
    <col min="6145" max="6145" width="7.6328125" style="2391" customWidth="1"/>
    <col min="6146" max="6146" width="10.453125" style="2391" customWidth="1"/>
    <col min="6147" max="6147" width="17.26953125" style="2391" customWidth="1"/>
    <col min="6148" max="6148" width="11" style="2391" customWidth="1"/>
    <col min="6149" max="6150" width="11.7265625" style="2391" customWidth="1"/>
    <col min="6151" max="6151" width="14.08984375" style="2391" customWidth="1"/>
    <col min="6152" max="6152" width="13.08984375" style="2391" customWidth="1"/>
    <col min="6153" max="6400" width="9" style="2391"/>
    <col min="6401" max="6401" width="7.6328125" style="2391" customWidth="1"/>
    <col min="6402" max="6402" width="10.453125" style="2391" customWidth="1"/>
    <col min="6403" max="6403" width="17.26953125" style="2391" customWidth="1"/>
    <col min="6404" max="6404" width="11" style="2391" customWidth="1"/>
    <col min="6405" max="6406" width="11.7265625" style="2391" customWidth="1"/>
    <col min="6407" max="6407" width="14.08984375" style="2391" customWidth="1"/>
    <col min="6408" max="6408" width="13.08984375" style="2391" customWidth="1"/>
    <col min="6409" max="6656" width="9" style="2391"/>
    <col min="6657" max="6657" width="7.6328125" style="2391" customWidth="1"/>
    <col min="6658" max="6658" width="10.453125" style="2391" customWidth="1"/>
    <col min="6659" max="6659" width="17.26953125" style="2391" customWidth="1"/>
    <col min="6660" max="6660" width="11" style="2391" customWidth="1"/>
    <col min="6661" max="6662" width="11.7265625" style="2391" customWidth="1"/>
    <col min="6663" max="6663" width="14.08984375" style="2391" customWidth="1"/>
    <col min="6664" max="6664" width="13.08984375" style="2391" customWidth="1"/>
    <col min="6665" max="6912" width="9" style="2391"/>
    <col min="6913" max="6913" width="7.6328125" style="2391" customWidth="1"/>
    <col min="6914" max="6914" width="10.453125" style="2391" customWidth="1"/>
    <col min="6915" max="6915" width="17.26953125" style="2391" customWidth="1"/>
    <col min="6916" max="6916" width="11" style="2391" customWidth="1"/>
    <col min="6917" max="6918" width="11.7265625" style="2391" customWidth="1"/>
    <col min="6919" max="6919" width="14.08984375" style="2391" customWidth="1"/>
    <col min="6920" max="6920" width="13.08984375" style="2391" customWidth="1"/>
    <col min="6921" max="7168" width="9" style="2391"/>
    <col min="7169" max="7169" width="7.6328125" style="2391" customWidth="1"/>
    <col min="7170" max="7170" width="10.453125" style="2391" customWidth="1"/>
    <col min="7171" max="7171" width="17.26953125" style="2391" customWidth="1"/>
    <col min="7172" max="7172" width="11" style="2391" customWidth="1"/>
    <col min="7173" max="7174" width="11.7265625" style="2391" customWidth="1"/>
    <col min="7175" max="7175" width="14.08984375" style="2391" customWidth="1"/>
    <col min="7176" max="7176" width="13.08984375" style="2391" customWidth="1"/>
    <col min="7177" max="7424" width="9" style="2391"/>
    <col min="7425" max="7425" width="7.6328125" style="2391" customWidth="1"/>
    <col min="7426" max="7426" width="10.453125" style="2391" customWidth="1"/>
    <col min="7427" max="7427" width="17.26953125" style="2391" customWidth="1"/>
    <col min="7428" max="7428" width="11" style="2391" customWidth="1"/>
    <col min="7429" max="7430" width="11.7265625" style="2391" customWidth="1"/>
    <col min="7431" max="7431" width="14.08984375" style="2391" customWidth="1"/>
    <col min="7432" max="7432" width="13.08984375" style="2391" customWidth="1"/>
    <col min="7433" max="7680" width="9" style="2391"/>
    <col min="7681" max="7681" width="7.6328125" style="2391" customWidth="1"/>
    <col min="7682" max="7682" width="10.453125" style="2391" customWidth="1"/>
    <col min="7683" max="7683" width="17.26953125" style="2391" customWidth="1"/>
    <col min="7684" max="7684" width="11" style="2391" customWidth="1"/>
    <col min="7685" max="7686" width="11.7265625" style="2391" customWidth="1"/>
    <col min="7687" max="7687" width="14.08984375" style="2391" customWidth="1"/>
    <col min="7688" max="7688" width="13.08984375" style="2391" customWidth="1"/>
    <col min="7689" max="7936" width="9" style="2391"/>
    <col min="7937" max="7937" width="7.6328125" style="2391" customWidth="1"/>
    <col min="7938" max="7938" width="10.453125" style="2391" customWidth="1"/>
    <col min="7939" max="7939" width="17.26953125" style="2391" customWidth="1"/>
    <col min="7940" max="7940" width="11" style="2391" customWidth="1"/>
    <col min="7941" max="7942" width="11.7265625" style="2391" customWidth="1"/>
    <col min="7943" max="7943" width="14.08984375" style="2391" customWidth="1"/>
    <col min="7944" max="7944" width="13.08984375" style="2391" customWidth="1"/>
    <col min="7945" max="8192" width="9" style="2391"/>
    <col min="8193" max="8193" width="7.6328125" style="2391" customWidth="1"/>
    <col min="8194" max="8194" width="10.453125" style="2391" customWidth="1"/>
    <col min="8195" max="8195" width="17.26953125" style="2391" customWidth="1"/>
    <col min="8196" max="8196" width="11" style="2391" customWidth="1"/>
    <col min="8197" max="8198" width="11.7265625" style="2391" customWidth="1"/>
    <col min="8199" max="8199" width="14.08984375" style="2391" customWidth="1"/>
    <col min="8200" max="8200" width="13.08984375" style="2391" customWidth="1"/>
    <col min="8201" max="8448" width="9" style="2391"/>
    <col min="8449" max="8449" width="7.6328125" style="2391" customWidth="1"/>
    <col min="8450" max="8450" width="10.453125" style="2391" customWidth="1"/>
    <col min="8451" max="8451" width="17.26953125" style="2391" customWidth="1"/>
    <col min="8452" max="8452" width="11" style="2391" customWidth="1"/>
    <col min="8453" max="8454" width="11.7265625" style="2391" customWidth="1"/>
    <col min="8455" max="8455" width="14.08984375" style="2391" customWidth="1"/>
    <col min="8456" max="8456" width="13.08984375" style="2391" customWidth="1"/>
    <col min="8457" max="8704" width="9" style="2391"/>
    <col min="8705" max="8705" width="7.6328125" style="2391" customWidth="1"/>
    <col min="8706" max="8706" width="10.453125" style="2391" customWidth="1"/>
    <col min="8707" max="8707" width="17.26953125" style="2391" customWidth="1"/>
    <col min="8708" max="8708" width="11" style="2391" customWidth="1"/>
    <col min="8709" max="8710" width="11.7265625" style="2391" customWidth="1"/>
    <col min="8711" max="8711" width="14.08984375" style="2391" customWidth="1"/>
    <col min="8712" max="8712" width="13.08984375" style="2391" customWidth="1"/>
    <col min="8713" max="8960" width="9" style="2391"/>
    <col min="8961" max="8961" width="7.6328125" style="2391" customWidth="1"/>
    <col min="8962" max="8962" width="10.453125" style="2391" customWidth="1"/>
    <col min="8963" max="8963" width="17.26953125" style="2391" customWidth="1"/>
    <col min="8964" max="8964" width="11" style="2391" customWidth="1"/>
    <col min="8965" max="8966" width="11.7265625" style="2391" customWidth="1"/>
    <col min="8967" max="8967" width="14.08984375" style="2391" customWidth="1"/>
    <col min="8968" max="8968" width="13.08984375" style="2391" customWidth="1"/>
    <col min="8969" max="9216" width="9" style="2391"/>
    <col min="9217" max="9217" width="7.6328125" style="2391" customWidth="1"/>
    <col min="9218" max="9218" width="10.453125" style="2391" customWidth="1"/>
    <col min="9219" max="9219" width="17.26953125" style="2391" customWidth="1"/>
    <col min="9220" max="9220" width="11" style="2391" customWidth="1"/>
    <col min="9221" max="9222" width="11.7265625" style="2391" customWidth="1"/>
    <col min="9223" max="9223" width="14.08984375" style="2391" customWidth="1"/>
    <col min="9224" max="9224" width="13.08984375" style="2391" customWidth="1"/>
    <col min="9225" max="9472" width="9" style="2391"/>
    <col min="9473" max="9473" width="7.6328125" style="2391" customWidth="1"/>
    <col min="9474" max="9474" width="10.453125" style="2391" customWidth="1"/>
    <col min="9475" max="9475" width="17.26953125" style="2391" customWidth="1"/>
    <col min="9476" max="9476" width="11" style="2391" customWidth="1"/>
    <col min="9477" max="9478" width="11.7265625" style="2391" customWidth="1"/>
    <col min="9479" max="9479" width="14.08984375" style="2391" customWidth="1"/>
    <col min="9480" max="9480" width="13.08984375" style="2391" customWidth="1"/>
    <col min="9481" max="9728" width="9" style="2391"/>
    <col min="9729" max="9729" width="7.6328125" style="2391" customWidth="1"/>
    <col min="9730" max="9730" width="10.453125" style="2391" customWidth="1"/>
    <col min="9731" max="9731" width="17.26953125" style="2391" customWidth="1"/>
    <col min="9732" max="9732" width="11" style="2391" customWidth="1"/>
    <col min="9733" max="9734" width="11.7265625" style="2391" customWidth="1"/>
    <col min="9735" max="9735" width="14.08984375" style="2391" customWidth="1"/>
    <col min="9736" max="9736" width="13.08984375" style="2391" customWidth="1"/>
    <col min="9737" max="9984" width="9" style="2391"/>
    <col min="9985" max="9985" width="7.6328125" style="2391" customWidth="1"/>
    <col min="9986" max="9986" width="10.453125" style="2391" customWidth="1"/>
    <col min="9987" max="9987" width="17.26953125" style="2391" customWidth="1"/>
    <col min="9988" max="9988" width="11" style="2391" customWidth="1"/>
    <col min="9989" max="9990" width="11.7265625" style="2391" customWidth="1"/>
    <col min="9991" max="9991" width="14.08984375" style="2391" customWidth="1"/>
    <col min="9992" max="9992" width="13.08984375" style="2391" customWidth="1"/>
    <col min="9993" max="10240" width="9" style="2391"/>
    <col min="10241" max="10241" width="7.6328125" style="2391" customWidth="1"/>
    <col min="10242" max="10242" width="10.453125" style="2391" customWidth="1"/>
    <col min="10243" max="10243" width="17.26953125" style="2391" customWidth="1"/>
    <col min="10244" max="10244" width="11" style="2391" customWidth="1"/>
    <col min="10245" max="10246" width="11.7265625" style="2391" customWidth="1"/>
    <col min="10247" max="10247" width="14.08984375" style="2391" customWidth="1"/>
    <col min="10248" max="10248" width="13.08984375" style="2391" customWidth="1"/>
    <col min="10249" max="10496" width="9" style="2391"/>
    <col min="10497" max="10497" width="7.6328125" style="2391" customWidth="1"/>
    <col min="10498" max="10498" width="10.453125" style="2391" customWidth="1"/>
    <col min="10499" max="10499" width="17.26953125" style="2391" customWidth="1"/>
    <col min="10500" max="10500" width="11" style="2391" customWidth="1"/>
    <col min="10501" max="10502" width="11.7265625" style="2391" customWidth="1"/>
    <col min="10503" max="10503" width="14.08984375" style="2391" customWidth="1"/>
    <col min="10504" max="10504" width="13.08984375" style="2391" customWidth="1"/>
    <col min="10505" max="10752" width="9" style="2391"/>
    <col min="10753" max="10753" width="7.6328125" style="2391" customWidth="1"/>
    <col min="10754" max="10754" width="10.453125" style="2391" customWidth="1"/>
    <col min="10755" max="10755" width="17.26953125" style="2391" customWidth="1"/>
    <col min="10756" max="10756" width="11" style="2391" customWidth="1"/>
    <col min="10757" max="10758" width="11.7265625" style="2391" customWidth="1"/>
    <col min="10759" max="10759" width="14.08984375" style="2391" customWidth="1"/>
    <col min="10760" max="10760" width="13.08984375" style="2391" customWidth="1"/>
    <col min="10761" max="11008" width="9" style="2391"/>
    <col min="11009" max="11009" width="7.6328125" style="2391" customWidth="1"/>
    <col min="11010" max="11010" width="10.453125" style="2391" customWidth="1"/>
    <col min="11011" max="11011" width="17.26953125" style="2391" customWidth="1"/>
    <col min="11012" max="11012" width="11" style="2391" customWidth="1"/>
    <col min="11013" max="11014" width="11.7265625" style="2391" customWidth="1"/>
    <col min="11015" max="11015" width="14.08984375" style="2391" customWidth="1"/>
    <col min="11016" max="11016" width="13.08984375" style="2391" customWidth="1"/>
    <col min="11017" max="11264" width="9" style="2391"/>
    <col min="11265" max="11265" width="7.6328125" style="2391" customWidth="1"/>
    <col min="11266" max="11266" width="10.453125" style="2391" customWidth="1"/>
    <col min="11267" max="11267" width="17.26953125" style="2391" customWidth="1"/>
    <col min="11268" max="11268" width="11" style="2391" customWidth="1"/>
    <col min="11269" max="11270" width="11.7265625" style="2391" customWidth="1"/>
    <col min="11271" max="11271" width="14.08984375" style="2391" customWidth="1"/>
    <col min="11272" max="11272" width="13.08984375" style="2391" customWidth="1"/>
    <col min="11273" max="11520" width="9" style="2391"/>
    <col min="11521" max="11521" width="7.6328125" style="2391" customWidth="1"/>
    <col min="11522" max="11522" width="10.453125" style="2391" customWidth="1"/>
    <col min="11523" max="11523" width="17.26953125" style="2391" customWidth="1"/>
    <col min="11524" max="11524" width="11" style="2391" customWidth="1"/>
    <col min="11525" max="11526" width="11.7265625" style="2391" customWidth="1"/>
    <col min="11527" max="11527" width="14.08984375" style="2391" customWidth="1"/>
    <col min="11528" max="11528" width="13.08984375" style="2391" customWidth="1"/>
    <col min="11529" max="11776" width="9" style="2391"/>
    <col min="11777" max="11777" width="7.6328125" style="2391" customWidth="1"/>
    <col min="11778" max="11778" width="10.453125" style="2391" customWidth="1"/>
    <col min="11779" max="11779" width="17.26953125" style="2391" customWidth="1"/>
    <col min="11780" max="11780" width="11" style="2391" customWidth="1"/>
    <col min="11781" max="11782" width="11.7265625" style="2391" customWidth="1"/>
    <col min="11783" max="11783" width="14.08984375" style="2391" customWidth="1"/>
    <col min="11784" max="11784" width="13.08984375" style="2391" customWidth="1"/>
    <col min="11785" max="12032" width="9" style="2391"/>
    <col min="12033" max="12033" width="7.6328125" style="2391" customWidth="1"/>
    <col min="12034" max="12034" width="10.453125" style="2391" customWidth="1"/>
    <col min="12035" max="12035" width="17.26953125" style="2391" customWidth="1"/>
    <col min="12036" max="12036" width="11" style="2391" customWidth="1"/>
    <col min="12037" max="12038" width="11.7265625" style="2391" customWidth="1"/>
    <col min="12039" max="12039" width="14.08984375" style="2391" customWidth="1"/>
    <col min="12040" max="12040" width="13.08984375" style="2391" customWidth="1"/>
    <col min="12041" max="12288" width="9" style="2391"/>
    <col min="12289" max="12289" width="7.6328125" style="2391" customWidth="1"/>
    <col min="12290" max="12290" width="10.453125" style="2391" customWidth="1"/>
    <col min="12291" max="12291" width="17.26953125" style="2391" customWidth="1"/>
    <col min="12292" max="12292" width="11" style="2391" customWidth="1"/>
    <col min="12293" max="12294" width="11.7265625" style="2391" customWidth="1"/>
    <col min="12295" max="12295" width="14.08984375" style="2391" customWidth="1"/>
    <col min="12296" max="12296" width="13.08984375" style="2391" customWidth="1"/>
    <col min="12297" max="12544" width="9" style="2391"/>
    <col min="12545" max="12545" width="7.6328125" style="2391" customWidth="1"/>
    <col min="12546" max="12546" width="10.453125" style="2391" customWidth="1"/>
    <col min="12547" max="12547" width="17.26953125" style="2391" customWidth="1"/>
    <col min="12548" max="12548" width="11" style="2391" customWidth="1"/>
    <col min="12549" max="12550" width="11.7265625" style="2391" customWidth="1"/>
    <col min="12551" max="12551" width="14.08984375" style="2391" customWidth="1"/>
    <col min="12552" max="12552" width="13.08984375" style="2391" customWidth="1"/>
    <col min="12553" max="12800" width="9" style="2391"/>
    <col min="12801" max="12801" width="7.6328125" style="2391" customWidth="1"/>
    <col min="12802" max="12802" width="10.453125" style="2391" customWidth="1"/>
    <col min="12803" max="12803" width="17.26953125" style="2391" customWidth="1"/>
    <col min="12804" max="12804" width="11" style="2391" customWidth="1"/>
    <col min="12805" max="12806" width="11.7265625" style="2391" customWidth="1"/>
    <col min="12807" max="12807" width="14.08984375" style="2391" customWidth="1"/>
    <col min="12808" max="12808" width="13.08984375" style="2391" customWidth="1"/>
    <col min="12809" max="13056" width="9" style="2391"/>
    <col min="13057" max="13057" width="7.6328125" style="2391" customWidth="1"/>
    <col min="13058" max="13058" width="10.453125" style="2391" customWidth="1"/>
    <col min="13059" max="13059" width="17.26953125" style="2391" customWidth="1"/>
    <col min="13060" max="13060" width="11" style="2391" customWidth="1"/>
    <col min="13061" max="13062" width="11.7265625" style="2391" customWidth="1"/>
    <col min="13063" max="13063" width="14.08984375" style="2391" customWidth="1"/>
    <col min="13064" max="13064" width="13.08984375" style="2391" customWidth="1"/>
    <col min="13065" max="13312" width="9" style="2391"/>
    <col min="13313" max="13313" width="7.6328125" style="2391" customWidth="1"/>
    <col min="13314" max="13314" width="10.453125" style="2391" customWidth="1"/>
    <col min="13315" max="13315" width="17.26953125" style="2391" customWidth="1"/>
    <col min="13316" max="13316" width="11" style="2391" customWidth="1"/>
    <col min="13317" max="13318" width="11.7265625" style="2391" customWidth="1"/>
    <col min="13319" max="13319" width="14.08984375" style="2391" customWidth="1"/>
    <col min="13320" max="13320" width="13.08984375" style="2391" customWidth="1"/>
    <col min="13321" max="13568" width="9" style="2391"/>
    <col min="13569" max="13569" width="7.6328125" style="2391" customWidth="1"/>
    <col min="13570" max="13570" width="10.453125" style="2391" customWidth="1"/>
    <col min="13571" max="13571" width="17.26953125" style="2391" customWidth="1"/>
    <col min="13572" max="13572" width="11" style="2391" customWidth="1"/>
    <col min="13573" max="13574" width="11.7265625" style="2391" customWidth="1"/>
    <col min="13575" max="13575" width="14.08984375" style="2391" customWidth="1"/>
    <col min="13576" max="13576" width="13.08984375" style="2391" customWidth="1"/>
    <col min="13577" max="13824" width="9" style="2391"/>
    <col min="13825" max="13825" width="7.6328125" style="2391" customWidth="1"/>
    <col min="13826" max="13826" width="10.453125" style="2391" customWidth="1"/>
    <col min="13827" max="13827" width="17.26953125" style="2391" customWidth="1"/>
    <col min="13828" max="13828" width="11" style="2391" customWidth="1"/>
    <col min="13829" max="13830" width="11.7265625" style="2391" customWidth="1"/>
    <col min="13831" max="13831" width="14.08984375" style="2391" customWidth="1"/>
    <col min="13832" max="13832" width="13.08984375" style="2391" customWidth="1"/>
    <col min="13833" max="14080" width="9" style="2391"/>
    <col min="14081" max="14081" width="7.6328125" style="2391" customWidth="1"/>
    <col min="14082" max="14082" width="10.453125" style="2391" customWidth="1"/>
    <col min="14083" max="14083" width="17.26953125" style="2391" customWidth="1"/>
    <col min="14084" max="14084" width="11" style="2391" customWidth="1"/>
    <col min="14085" max="14086" width="11.7265625" style="2391" customWidth="1"/>
    <col min="14087" max="14087" width="14.08984375" style="2391" customWidth="1"/>
    <col min="14088" max="14088" width="13.08984375" style="2391" customWidth="1"/>
    <col min="14089" max="14336" width="9" style="2391"/>
    <col min="14337" max="14337" width="7.6328125" style="2391" customWidth="1"/>
    <col min="14338" max="14338" width="10.453125" style="2391" customWidth="1"/>
    <col min="14339" max="14339" width="17.26953125" style="2391" customWidth="1"/>
    <col min="14340" max="14340" width="11" style="2391" customWidth="1"/>
    <col min="14341" max="14342" width="11.7265625" style="2391" customWidth="1"/>
    <col min="14343" max="14343" width="14.08984375" style="2391" customWidth="1"/>
    <col min="14344" max="14344" width="13.08984375" style="2391" customWidth="1"/>
    <col min="14345" max="14592" width="9" style="2391"/>
    <col min="14593" max="14593" width="7.6328125" style="2391" customWidth="1"/>
    <col min="14594" max="14594" width="10.453125" style="2391" customWidth="1"/>
    <col min="14595" max="14595" width="17.26953125" style="2391" customWidth="1"/>
    <col min="14596" max="14596" width="11" style="2391" customWidth="1"/>
    <col min="14597" max="14598" width="11.7265625" style="2391" customWidth="1"/>
    <col min="14599" max="14599" width="14.08984375" style="2391" customWidth="1"/>
    <col min="14600" max="14600" width="13.08984375" style="2391" customWidth="1"/>
    <col min="14601" max="14848" width="9" style="2391"/>
    <col min="14849" max="14849" width="7.6328125" style="2391" customWidth="1"/>
    <col min="14850" max="14850" width="10.453125" style="2391" customWidth="1"/>
    <col min="14851" max="14851" width="17.26953125" style="2391" customWidth="1"/>
    <col min="14852" max="14852" width="11" style="2391" customWidth="1"/>
    <col min="14853" max="14854" width="11.7265625" style="2391" customWidth="1"/>
    <col min="14855" max="14855" width="14.08984375" style="2391" customWidth="1"/>
    <col min="14856" max="14856" width="13.08984375" style="2391" customWidth="1"/>
    <col min="14857" max="15104" width="9" style="2391"/>
    <col min="15105" max="15105" width="7.6328125" style="2391" customWidth="1"/>
    <col min="15106" max="15106" width="10.453125" style="2391" customWidth="1"/>
    <col min="15107" max="15107" width="17.26953125" style="2391" customWidth="1"/>
    <col min="15108" max="15108" width="11" style="2391" customWidth="1"/>
    <col min="15109" max="15110" width="11.7265625" style="2391" customWidth="1"/>
    <col min="15111" max="15111" width="14.08984375" style="2391" customWidth="1"/>
    <col min="15112" max="15112" width="13.08984375" style="2391" customWidth="1"/>
    <col min="15113" max="15360" width="9" style="2391"/>
    <col min="15361" max="15361" width="7.6328125" style="2391" customWidth="1"/>
    <col min="15362" max="15362" width="10.453125" style="2391" customWidth="1"/>
    <col min="15363" max="15363" width="17.26953125" style="2391" customWidth="1"/>
    <col min="15364" max="15364" width="11" style="2391" customWidth="1"/>
    <col min="15365" max="15366" width="11.7265625" style="2391" customWidth="1"/>
    <col min="15367" max="15367" width="14.08984375" style="2391" customWidth="1"/>
    <col min="15368" max="15368" width="13.08984375" style="2391" customWidth="1"/>
    <col min="15369" max="15616" width="9" style="2391"/>
    <col min="15617" max="15617" width="7.6328125" style="2391" customWidth="1"/>
    <col min="15618" max="15618" width="10.453125" style="2391" customWidth="1"/>
    <col min="15619" max="15619" width="17.26953125" style="2391" customWidth="1"/>
    <col min="15620" max="15620" width="11" style="2391" customWidth="1"/>
    <col min="15621" max="15622" width="11.7265625" style="2391" customWidth="1"/>
    <col min="15623" max="15623" width="14.08984375" style="2391" customWidth="1"/>
    <col min="15624" max="15624" width="13.08984375" style="2391" customWidth="1"/>
    <col min="15625" max="15872" width="9" style="2391"/>
    <col min="15873" max="15873" width="7.6328125" style="2391" customWidth="1"/>
    <col min="15874" max="15874" width="10.453125" style="2391" customWidth="1"/>
    <col min="15875" max="15875" width="17.26953125" style="2391" customWidth="1"/>
    <col min="15876" max="15876" width="11" style="2391" customWidth="1"/>
    <col min="15877" max="15878" width="11.7265625" style="2391" customWidth="1"/>
    <col min="15879" max="15879" width="14.08984375" style="2391" customWidth="1"/>
    <col min="15880" max="15880" width="13.08984375" style="2391" customWidth="1"/>
    <col min="15881" max="16128" width="9" style="2391"/>
    <col min="16129" max="16129" width="7.6328125" style="2391" customWidth="1"/>
    <col min="16130" max="16130" width="10.453125" style="2391" customWidth="1"/>
    <col min="16131" max="16131" width="17.26953125" style="2391" customWidth="1"/>
    <col min="16132" max="16132" width="11" style="2391" customWidth="1"/>
    <col min="16133" max="16134" width="11.7265625" style="2391" customWidth="1"/>
    <col min="16135" max="16135" width="14.08984375" style="2391" customWidth="1"/>
    <col min="16136" max="16136" width="13.08984375" style="2391" customWidth="1"/>
    <col min="16137" max="16384" width="9" style="2391"/>
  </cols>
  <sheetData>
    <row r="1" spans="1:10" s="2384" customFormat="1" ht="30.25" customHeight="1">
      <c r="A1" s="2384" t="s">
        <v>1348</v>
      </c>
      <c r="B1" s="2385"/>
      <c r="C1" s="2385"/>
      <c r="D1" s="2385"/>
      <c r="E1" s="2386"/>
      <c r="F1" s="2387"/>
      <c r="G1" s="2387"/>
      <c r="H1" s="2387"/>
      <c r="I1" s="2387"/>
      <c r="J1" s="2387"/>
    </row>
    <row r="2" spans="1:10" ht="30.25" customHeight="1"/>
    <row r="3" spans="1:10" s="2396" customFormat="1" ht="30.25" customHeight="1">
      <c r="A3" s="2392" t="s">
        <v>1349</v>
      </c>
      <c r="B3" s="2393"/>
      <c r="C3" s="2393"/>
      <c r="D3" s="2393"/>
      <c r="E3" s="2394"/>
      <c r="F3" s="2395"/>
      <c r="G3" s="2395"/>
      <c r="H3" s="2395"/>
      <c r="I3" s="2395"/>
      <c r="J3" s="2395"/>
    </row>
    <row r="4" spans="1:10" ht="30.25" customHeight="1">
      <c r="A4" s="2397" t="s">
        <v>1298</v>
      </c>
      <c r="B4" s="2397" t="s">
        <v>1350</v>
      </c>
      <c r="C4" s="2397" t="s">
        <v>1351</v>
      </c>
      <c r="D4" s="2398" t="s">
        <v>1303</v>
      </c>
      <c r="E4" s="2399" t="s">
        <v>2396</v>
      </c>
      <c r="F4" s="2399"/>
      <c r="G4" s="2399" t="s">
        <v>1301</v>
      </c>
    </row>
    <row r="5" spans="1:10" ht="30.25" customHeight="1">
      <c r="A5" s="2397"/>
      <c r="B5" s="2397"/>
      <c r="C5" s="2397"/>
      <c r="D5" s="2398"/>
      <c r="E5" s="2400" t="s">
        <v>2397</v>
      </c>
      <c r="F5" s="2400" t="s">
        <v>2398</v>
      </c>
      <c r="G5" s="2399"/>
    </row>
    <row r="6" spans="1:10" ht="30.25" customHeight="1">
      <c r="A6" s="2401"/>
      <c r="B6" s="2401"/>
      <c r="C6" s="2402"/>
      <c r="D6" s="2403"/>
      <c r="E6" s="2404"/>
      <c r="F6" s="2405"/>
      <c r="G6" s="2406"/>
    </row>
    <row r="7" spans="1:10" ht="19.5" customHeight="1">
      <c r="A7" s="2407" t="s">
        <v>2399</v>
      </c>
    </row>
    <row r="8" spans="1:10" ht="19.5" customHeight="1">
      <c r="A8" s="2391"/>
    </row>
    <row r="9" spans="1:10" ht="30.25" customHeight="1">
      <c r="A9" s="2392" t="s">
        <v>1352</v>
      </c>
      <c r="B9" s="2393"/>
      <c r="C9" s="2393"/>
      <c r="D9" s="2393"/>
      <c r="E9" s="2394"/>
      <c r="F9" s="2395"/>
      <c r="G9" s="2395"/>
    </row>
    <row r="10" spans="1:10" ht="30.25" customHeight="1">
      <c r="A10" s="2397" t="s">
        <v>1298</v>
      </c>
      <c r="B10" s="2397" t="s">
        <v>1350</v>
      </c>
      <c r="C10" s="2397" t="s">
        <v>1351</v>
      </c>
      <c r="D10" s="2398" t="s">
        <v>1303</v>
      </c>
      <c r="E10" s="2399" t="s">
        <v>2396</v>
      </c>
      <c r="F10" s="2399"/>
      <c r="G10" s="2399" t="s">
        <v>1301</v>
      </c>
    </row>
    <row r="11" spans="1:10" ht="30.25" customHeight="1">
      <c r="A11" s="2397"/>
      <c r="B11" s="2397"/>
      <c r="C11" s="2397"/>
      <c r="D11" s="2398"/>
      <c r="E11" s="2400" t="s">
        <v>2397</v>
      </c>
      <c r="F11" s="2400" t="s">
        <v>2398</v>
      </c>
      <c r="G11" s="2399"/>
    </row>
    <row r="12" spans="1:10" ht="30.25" customHeight="1">
      <c r="A12" s="2401"/>
      <c r="B12" s="2401"/>
      <c r="C12" s="2402"/>
      <c r="D12" s="2403"/>
      <c r="E12" s="2404"/>
      <c r="F12" s="2405"/>
      <c r="G12" s="2406"/>
    </row>
    <row r="13" spans="1:10" ht="19.5" customHeight="1">
      <c r="A13" s="2407" t="s">
        <v>2399</v>
      </c>
    </row>
  </sheetData>
  <mergeCells count="12">
    <mergeCell ref="A10:A11"/>
    <mergeCell ref="B10:B11"/>
    <mergeCell ref="C10:C11"/>
    <mergeCell ref="D10:D11"/>
    <mergeCell ref="E10:F10"/>
    <mergeCell ref="G10:G11"/>
    <mergeCell ref="A4:A5"/>
    <mergeCell ref="B4:B5"/>
    <mergeCell ref="C4:C5"/>
    <mergeCell ref="D4:D5"/>
    <mergeCell ref="E4:F4"/>
    <mergeCell ref="G4:G5"/>
  </mergeCells>
  <phoneticPr fontId="6"/>
  <printOptions horizontalCentered="1"/>
  <pageMargins left="0.98425196850393704" right="0.59055118110236227" top="0.78740157480314965" bottom="0.78740157480314965" header="0.51181102362204722" footer="0.51181102362204722"/>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059036-B404-45E0-9DA6-4BB4F298D4DA}">
  <dimension ref="A1:Y52"/>
  <sheetViews>
    <sheetView view="pageBreakPreview" zoomScaleNormal="75" zoomScaleSheetLayoutView="100" workbookViewId="0">
      <pane xSplit="1" ySplit="6" topLeftCell="B7" activePane="bottomRight" state="frozen"/>
      <selection pane="topRight" activeCell="B1" sqref="B1"/>
      <selection pane="bottomLeft" activeCell="A7" sqref="A7"/>
      <selection pane="bottomRight"/>
    </sheetView>
  </sheetViews>
  <sheetFormatPr defaultColWidth="10" defaultRowHeight="18" customHeight="1"/>
  <cols>
    <col min="1" max="1" width="3.6328125" style="2409" customWidth="1"/>
    <col min="2" max="3" width="2.6328125" style="2409" customWidth="1"/>
    <col min="4" max="5" width="6.6328125" style="2409" customWidth="1"/>
    <col min="6" max="7" width="2.6328125" style="2409" customWidth="1"/>
    <col min="8" max="9" width="6.6328125" style="2409" customWidth="1"/>
    <col min="10" max="11" width="2.6328125" style="2409" customWidth="1"/>
    <col min="12" max="13" width="6.6328125" style="2409" customWidth="1"/>
    <col min="14" max="15" width="2.6328125" style="2409" customWidth="1"/>
    <col min="16" max="17" width="6.6328125" style="2409" customWidth="1"/>
    <col min="18" max="19" width="2.6328125" style="2409" customWidth="1"/>
    <col min="20" max="21" width="6.6328125" style="2409" customWidth="1"/>
    <col min="22" max="23" width="2.6328125" style="2409" customWidth="1"/>
    <col min="24" max="25" width="6.6328125" style="2409" customWidth="1"/>
    <col min="26" max="256" width="10" style="2409"/>
    <col min="257" max="257" width="3.6328125" style="2409" customWidth="1"/>
    <col min="258" max="259" width="2.6328125" style="2409" customWidth="1"/>
    <col min="260" max="261" width="6.6328125" style="2409" customWidth="1"/>
    <col min="262" max="263" width="2.6328125" style="2409" customWidth="1"/>
    <col min="264" max="265" width="6.6328125" style="2409" customWidth="1"/>
    <col min="266" max="267" width="2.6328125" style="2409" customWidth="1"/>
    <col min="268" max="269" width="6.6328125" style="2409" customWidth="1"/>
    <col min="270" max="271" width="2.6328125" style="2409" customWidth="1"/>
    <col min="272" max="273" width="6.6328125" style="2409" customWidth="1"/>
    <col min="274" max="275" width="2.6328125" style="2409" customWidth="1"/>
    <col min="276" max="277" width="6.6328125" style="2409" customWidth="1"/>
    <col min="278" max="279" width="2.6328125" style="2409" customWidth="1"/>
    <col min="280" max="281" width="6.6328125" style="2409" customWidth="1"/>
    <col min="282" max="512" width="10" style="2409"/>
    <col min="513" max="513" width="3.6328125" style="2409" customWidth="1"/>
    <col min="514" max="515" width="2.6328125" style="2409" customWidth="1"/>
    <col min="516" max="517" width="6.6328125" style="2409" customWidth="1"/>
    <col min="518" max="519" width="2.6328125" style="2409" customWidth="1"/>
    <col min="520" max="521" width="6.6328125" style="2409" customWidth="1"/>
    <col min="522" max="523" width="2.6328125" style="2409" customWidth="1"/>
    <col min="524" max="525" width="6.6328125" style="2409" customWidth="1"/>
    <col min="526" max="527" width="2.6328125" style="2409" customWidth="1"/>
    <col min="528" max="529" width="6.6328125" style="2409" customWidth="1"/>
    <col min="530" max="531" width="2.6328125" style="2409" customWidth="1"/>
    <col min="532" max="533" width="6.6328125" style="2409" customWidth="1"/>
    <col min="534" max="535" width="2.6328125" style="2409" customWidth="1"/>
    <col min="536" max="537" width="6.6328125" style="2409" customWidth="1"/>
    <col min="538" max="768" width="10" style="2409"/>
    <col min="769" max="769" width="3.6328125" style="2409" customWidth="1"/>
    <col min="770" max="771" width="2.6328125" style="2409" customWidth="1"/>
    <col min="772" max="773" width="6.6328125" style="2409" customWidth="1"/>
    <col min="774" max="775" width="2.6328125" style="2409" customWidth="1"/>
    <col min="776" max="777" width="6.6328125" style="2409" customWidth="1"/>
    <col min="778" max="779" width="2.6328125" style="2409" customWidth="1"/>
    <col min="780" max="781" width="6.6328125" style="2409" customWidth="1"/>
    <col min="782" max="783" width="2.6328125" style="2409" customWidth="1"/>
    <col min="784" max="785" width="6.6328125" style="2409" customWidth="1"/>
    <col min="786" max="787" width="2.6328125" style="2409" customWidth="1"/>
    <col min="788" max="789" width="6.6328125" style="2409" customWidth="1"/>
    <col min="790" max="791" width="2.6328125" style="2409" customWidth="1"/>
    <col min="792" max="793" width="6.6328125" style="2409" customWidth="1"/>
    <col min="794" max="1024" width="10" style="2409"/>
    <col min="1025" max="1025" width="3.6328125" style="2409" customWidth="1"/>
    <col min="1026" max="1027" width="2.6328125" style="2409" customWidth="1"/>
    <col min="1028" max="1029" width="6.6328125" style="2409" customWidth="1"/>
    <col min="1030" max="1031" width="2.6328125" style="2409" customWidth="1"/>
    <col min="1032" max="1033" width="6.6328125" style="2409" customWidth="1"/>
    <col min="1034" max="1035" width="2.6328125" style="2409" customWidth="1"/>
    <col min="1036" max="1037" width="6.6328125" style="2409" customWidth="1"/>
    <col min="1038" max="1039" width="2.6328125" style="2409" customWidth="1"/>
    <col min="1040" max="1041" width="6.6328125" style="2409" customWidth="1"/>
    <col min="1042" max="1043" width="2.6328125" style="2409" customWidth="1"/>
    <col min="1044" max="1045" width="6.6328125" style="2409" customWidth="1"/>
    <col min="1046" max="1047" width="2.6328125" style="2409" customWidth="1"/>
    <col min="1048" max="1049" width="6.6328125" style="2409" customWidth="1"/>
    <col min="1050" max="1280" width="10" style="2409"/>
    <col min="1281" max="1281" width="3.6328125" style="2409" customWidth="1"/>
    <col min="1282" max="1283" width="2.6328125" style="2409" customWidth="1"/>
    <col min="1284" max="1285" width="6.6328125" style="2409" customWidth="1"/>
    <col min="1286" max="1287" width="2.6328125" style="2409" customWidth="1"/>
    <col min="1288" max="1289" width="6.6328125" style="2409" customWidth="1"/>
    <col min="1290" max="1291" width="2.6328125" style="2409" customWidth="1"/>
    <col min="1292" max="1293" width="6.6328125" style="2409" customWidth="1"/>
    <col min="1294" max="1295" width="2.6328125" style="2409" customWidth="1"/>
    <col min="1296" max="1297" width="6.6328125" style="2409" customWidth="1"/>
    <col min="1298" max="1299" width="2.6328125" style="2409" customWidth="1"/>
    <col min="1300" max="1301" width="6.6328125" style="2409" customWidth="1"/>
    <col min="1302" max="1303" width="2.6328125" style="2409" customWidth="1"/>
    <col min="1304" max="1305" width="6.6328125" style="2409" customWidth="1"/>
    <col min="1306" max="1536" width="10" style="2409"/>
    <col min="1537" max="1537" width="3.6328125" style="2409" customWidth="1"/>
    <col min="1538" max="1539" width="2.6328125" style="2409" customWidth="1"/>
    <col min="1540" max="1541" width="6.6328125" style="2409" customWidth="1"/>
    <col min="1542" max="1543" width="2.6328125" style="2409" customWidth="1"/>
    <col min="1544" max="1545" width="6.6328125" style="2409" customWidth="1"/>
    <col min="1546" max="1547" width="2.6328125" style="2409" customWidth="1"/>
    <col min="1548" max="1549" width="6.6328125" style="2409" customWidth="1"/>
    <col min="1550" max="1551" width="2.6328125" style="2409" customWidth="1"/>
    <col min="1552" max="1553" width="6.6328125" style="2409" customWidth="1"/>
    <col min="1554" max="1555" width="2.6328125" style="2409" customWidth="1"/>
    <col min="1556" max="1557" width="6.6328125" style="2409" customWidth="1"/>
    <col min="1558" max="1559" width="2.6328125" style="2409" customWidth="1"/>
    <col min="1560" max="1561" width="6.6328125" style="2409" customWidth="1"/>
    <col min="1562" max="1792" width="10" style="2409"/>
    <col min="1793" max="1793" width="3.6328125" style="2409" customWidth="1"/>
    <col min="1794" max="1795" width="2.6328125" style="2409" customWidth="1"/>
    <col min="1796" max="1797" width="6.6328125" style="2409" customWidth="1"/>
    <col min="1798" max="1799" width="2.6328125" style="2409" customWidth="1"/>
    <col min="1800" max="1801" width="6.6328125" style="2409" customWidth="1"/>
    <col min="1802" max="1803" width="2.6328125" style="2409" customWidth="1"/>
    <col min="1804" max="1805" width="6.6328125" style="2409" customWidth="1"/>
    <col min="1806" max="1807" width="2.6328125" style="2409" customWidth="1"/>
    <col min="1808" max="1809" width="6.6328125" style="2409" customWidth="1"/>
    <col min="1810" max="1811" width="2.6328125" style="2409" customWidth="1"/>
    <col min="1812" max="1813" width="6.6328125" style="2409" customWidth="1"/>
    <col min="1814" max="1815" width="2.6328125" style="2409" customWidth="1"/>
    <col min="1816" max="1817" width="6.6328125" style="2409" customWidth="1"/>
    <col min="1818" max="2048" width="10" style="2409"/>
    <col min="2049" max="2049" width="3.6328125" style="2409" customWidth="1"/>
    <col min="2050" max="2051" width="2.6328125" style="2409" customWidth="1"/>
    <col min="2052" max="2053" width="6.6328125" style="2409" customWidth="1"/>
    <col min="2054" max="2055" width="2.6328125" style="2409" customWidth="1"/>
    <col min="2056" max="2057" width="6.6328125" style="2409" customWidth="1"/>
    <col min="2058" max="2059" width="2.6328125" style="2409" customWidth="1"/>
    <col min="2060" max="2061" width="6.6328125" style="2409" customWidth="1"/>
    <col min="2062" max="2063" width="2.6328125" style="2409" customWidth="1"/>
    <col min="2064" max="2065" width="6.6328125" style="2409" customWidth="1"/>
    <col min="2066" max="2067" width="2.6328125" style="2409" customWidth="1"/>
    <col min="2068" max="2069" width="6.6328125" style="2409" customWidth="1"/>
    <col min="2070" max="2071" width="2.6328125" style="2409" customWidth="1"/>
    <col min="2072" max="2073" width="6.6328125" style="2409" customWidth="1"/>
    <col min="2074" max="2304" width="10" style="2409"/>
    <col min="2305" max="2305" width="3.6328125" style="2409" customWidth="1"/>
    <col min="2306" max="2307" width="2.6328125" style="2409" customWidth="1"/>
    <col min="2308" max="2309" width="6.6328125" style="2409" customWidth="1"/>
    <col min="2310" max="2311" width="2.6328125" style="2409" customWidth="1"/>
    <col min="2312" max="2313" width="6.6328125" style="2409" customWidth="1"/>
    <col min="2314" max="2315" width="2.6328125" style="2409" customWidth="1"/>
    <col min="2316" max="2317" width="6.6328125" style="2409" customWidth="1"/>
    <col min="2318" max="2319" width="2.6328125" style="2409" customWidth="1"/>
    <col min="2320" max="2321" width="6.6328125" style="2409" customWidth="1"/>
    <col min="2322" max="2323" width="2.6328125" style="2409" customWidth="1"/>
    <col min="2324" max="2325" width="6.6328125" style="2409" customWidth="1"/>
    <col min="2326" max="2327" width="2.6328125" style="2409" customWidth="1"/>
    <col min="2328" max="2329" width="6.6328125" style="2409" customWidth="1"/>
    <col min="2330" max="2560" width="10" style="2409"/>
    <col min="2561" max="2561" width="3.6328125" style="2409" customWidth="1"/>
    <col min="2562" max="2563" width="2.6328125" style="2409" customWidth="1"/>
    <col min="2564" max="2565" width="6.6328125" style="2409" customWidth="1"/>
    <col min="2566" max="2567" width="2.6328125" style="2409" customWidth="1"/>
    <col min="2568" max="2569" width="6.6328125" style="2409" customWidth="1"/>
    <col min="2570" max="2571" width="2.6328125" style="2409" customWidth="1"/>
    <col min="2572" max="2573" width="6.6328125" style="2409" customWidth="1"/>
    <col min="2574" max="2575" width="2.6328125" style="2409" customWidth="1"/>
    <col min="2576" max="2577" width="6.6328125" style="2409" customWidth="1"/>
    <col min="2578" max="2579" width="2.6328125" style="2409" customWidth="1"/>
    <col min="2580" max="2581" width="6.6328125" style="2409" customWidth="1"/>
    <col min="2582" max="2583" width="2.6328125" style="2409" customWidth="1"/>
    <col min="2584" max="2585" width="6.6328125" style="2409" customWidth="1"/>
    <col min="2586" max="2816" width="10" style="2409"/>
    <col min="2817" max="2817" width="3.6328125" style="2409" customWidth="1"/>
    <col min="2818" max="2819" width="2.6328125" style="2409" customWidth="1"/>
    <col min="2820" max="2821" width="6.6328125" style="2409" customWidth="1"/>
    <col min="2822" max="2823" width="2.6328125" style="2409" customWidth="1"/>
    <col min="2824" max="2825" width="6.6328125" style="2409" customWidth="1"/>
    <col min="2826" max="2827" width="2.6328125" style="2409" customWidth="1"/>
    <col min="2828" max="2829" width="6.6328125" style="2409" customWidth="1"/>
    <col min="2830" max="2831" width="2.6328125" style="2409" customWidth="1"/>
    <col min="2832" max="2833" width="6.6328125" style="2409" customWidth="1"/>
    <col min="2834" max="2835" width="2.6328125" style="2409" customWidth="1"/>
    <col min="2836" max="2837" width="6.6328125" style="2409" customWidth="1"/>
    <col min="2838" max="2839" width="2.6328125" style="2409" customWidth="1"/>
    <col min="2840" max="2841" width="6.6328125" style="2409" customWidth="1"/>
    <col min="2842" max="3072" width="10" style="2409"/>
    <col min="3073" max="3073" width="3.6328125" style="2409" customWidth="1"/>
    <col min="3074" max="3075" width="2.6328125" style="2409" customWidth="1"/>
    <col min="3076" max="3077" width="6.6328125" style="2409" customWidth="1"/>
    <col min="3078" max="3079" width="2.6328125" style="2409" customWidth="1"/>
    <col min="3080" max="3081" width="6.6328125" style="2409" customWidth="1"/>
    <col min="3082" max="3083" width="2.6328125" style="2409" customWidth="1"/>
    <col min="3084" max="3085" width="6.6328125" style="2409" customWidth="1"/>
    <col min="3086" max="3087" width="2.6328125" style="2409" customWidth="1"/>
    <col min="3088" max="3089" width="6.6328125" style="2409" customWidth="1"/>
    <col min="3090" max="3091" width="2.6328125" style="2409" customWidth="1"/>
    <col min="3092" max="3093" width="6.6328125" style="2409" customWidth="1"/>
    <col min="3094" max="3095" width="2.6328125" style="2409" customWidth="1"/>
    <col min="3096" max="3097" width="6.6328125" style="2409" customWidth="1"/>
    <col min="3098" max="3328" width="10" style="2409"/>
    <col min="3329" max="3329" width="3.6328125" style="2409" customWidth="1"/>
    <col min="3330" max="3331" width="2.6328125" style="2409" customWidth="1"/>
    <col min="3332" max="3333" width="6.6328125" style="2409" customWidth="1"/>
    <col min="3334" max="3335" width="2.6328125" style="2409" customWidth="1"/>
    <col min="3336" max="3337" width="6.6328125" style="2409" customWidth="1"/>
    <col min="3338" max="3339" width="2.6328125" style="2409" customWidth="1"/>
    <col min="3340" max="3341" width="6.6328125" style="2409" customWidth="1"/>
    <col min="3342" max="3343" width="2.6328125" style="2409" customWidth="1"/>
    <col min="3344" max="3345" width="6.6328125" style="2409" customWidth="1"/>
    <col min="3346" max="3347" width="2.6328125" style="2409" customWidth="1"/>
    <col min="3348" max="3349" width="6.6328125" style="2409" customWidth="1"/>
    <col min="3350" max="3351" width="2.6328125" style="2409" customWidth="1"/>
    <col min="3352" max="3353" width="6.6328125" style="2409" customWidth="1"/>
    <col min="3354" max="3584" width="10" style="2409"/>
    <col min="3585" max="3585" width="3.6328125" style="2409" customWidth="1"/>
    <col min="3586" max="3587" width="2.6328125" style="2409" customWidth="1"/>
    <col min="3588" max="3589" width="6.6328125" style="2409" customWidth="1"/>
    <col min="3590" max="3591" width="2.6328125" style="2409" customWidth="1"/>
    <col min="3592" max="3593" width="6.6328125" style="2409" customWidth="1"/>
    <col min="3594" max="3595" width="2.6328125" style="2409" customWidth="1"/>
    <col min="3596" max="3597" width="6.6328125" style="2409" customWidth="1"/>
    <col min="3598" max="3599" width="2.6328125" style="2409" customWidth="1"/>
    <col min="3600" max="3601" width="6.6328125" style="2409" customWidth="1"/>
    <col min="3602" max="3603" width="2.6328125" style="2409" customWidth="1"/>
    <col min="3604" max="3605" width="6.6328125" style="2409" customWidth="1"/>
    <col min="3606" max="3607" width="2.6328125" style="2409" customWidth="1"/>
    <col min="3608" max="3609" width="6.6328125" style="2409" customWidth="1"/>
    <col min="3610" max="3840" width="10" style="2409"/>
    <col min="3841" max="3841" width="3.6328125" style="2409" customWidth="1"/>
    <col min="3842" max="3843" width="2.6328125" style="2409" customWidth="1"/>
    <col min="3844" max="3845" width="6.6328125" style="2409" customWidth="1"/>
    <col min="3846" max="3847" width="2.6328125" style="2409" customWidth="1"/>
    <col min="3848" max="3849" width="6.6328125" style="2409" customWidth="1"/>
    <col min="3850" max="3851" width="2.6328125" style="2409" customWidth="1"/>
    <col min="3852" max="3853" width="6.6328125" style="2409" customWidth="1"/>
    <col min="3854" max="3855" width="2.6328125" style="2409" customWidth="1"/>
    <col min="3856" max="3857" width="6.6328125" style="2409" customWidth="1"/>
    <col min="3858" max="3859" width="2.6328125" style="2409" customWidth="1"/>
    <col min="3860" max="3861" width="6.6328125" style="2409" customWidth="1"/>
    <col min="3862" max="3863" width="2.6328125" style="2409" customWidth="1"/>
    <col min="3864" max="3865" width="6.6328125" style="2409" customWidth="1"/>
    <col min="3866" max="4096" width="10" style="2409"/>
    <col min="4097" max="4097" width="3.6328125" style="2409" customWidth="1"/>
    <col min="4098" max="4099" width="2.6328125" style="2409" customWidth="1"/>
    <col min="4100" max="4101" width="6.6328125" style="2409" customWidth="1"/>
    <col min="4102" max="4103" width="2.6328125" style="2409" customWidth="1"/>
    <col min="4104" max="4105" width="6.6328125" style="2409" customWidth="1"/>
    <col min="4106" max="4107" width="2.6328125" style="2409" customWidth="1"/>
    <col min="4108" max="4109" width="6.6328125" style="2409" customWidth="1"/>
    <col min="4110" max="4111" width="2.6328125" style="2409" customWidth="1"/>
    <col min="4112" max="4113" width="6.6328125" style="2409" customWidth="1"/>
    <col min="4114" max="4115" width="2.6328125" style="2409" customWidth="1"/>
    <col min="4116" max="4117" width="6.6328125" style="2409" customWidth="1"/>
    <col min="4118" max="4119" width="2.6328125" style="2409" customWidth="1"/>
    <col min="4120" max="4121" width="6.6328125" style="2409" customWidth="1"/>
    <col min="4122" max="4352" width="10" style="2409"/>
    <col min="4353" max="4353" width="3.6328125" style="2409" customWidth="1"/>
    <col min="4354" max="4355" width="2.6328125" style="2409" customWidth="1"/>
    <col min="4356" max="4357" width="6.6328125" style="2409" customWidth="1"/>
    <col min="4358" max="4359" width="2.6328125" style="2409" customWidth="1"/>
    <col min="4360" max="4361" width="6.6328125" style="2409" customWidth="1"/>
    <col min="4362" max="4363" width="2.6328125" style="2409" customWidth="1"/>
    <col min="4364" max="4365" width="6.6328125" style="2409" customWidth="1"/>
    <col min="4366" max="4367" width="2.6328125" style="2409" customWidth="1"/>
    <col min="4368" max="4369" width="6.6328125" style="2409" customWidth="1"/>
    <col min="4370" max="4371" width="2.6328125" style="2409" customWidth="1"/>
    <col min="4372" max="4373" width="6.6328125" style="2409" customWidth="1"/>
    <col min="4374" max="4375" width="2.6328125" style="2409" customWidth="1"/>
    <col min="4376" max="4377" width="6.6328125" style="2409" customWidth="1"/>
    <col min="4378" max="4608" width="10" style="2409"/>
    <col min="4609" max="4609" width="3.6328125" style="2409" customWidth="1"/>
    <col min="4610" max="4611" width="2.6328125" style="2409" customWidth="1"/>
    <col min="4612" max="4613" width="6.6328125" style="2409" customWidth="1"/>
    <col min="4614" max="4615" width="2.6328125" style="2409" customWidth="1"/>
    <col min="4616" max="4617" width="6.6328125" style="2409" customWidth="1"/>
    <col min="4618" max="4619" width="2.6328125" style="2409" customWidth="1"/>
    <col min="4620" max="4621" width="6.6328125" style="2409" customWidth="1"/>
    <col min="4622" max="4623" width="2.6328125" style="2409" customWidth="1"/>
    <col min="4624" max="4625" width="6.6328125" style="2409" customWidth="1"/>
    <col min="4626" max="4627" width="2.6328125" style="2409" customWidth="1"/>
    <col min="4628" max="4629" width="6.6328125" style="2409" customWidth="1"/>
    <col min="4630" max="4631" width="2.6328125" style="2409" customWidth="1"/>
    <col min="4632" max="4633" width="6.6328125" style="2409" customWidth="1"/>
    <col min="4634" max="4864" width="10" style="2409"/>
    <col min="4865" max="4865" width="3.6328125" style="2409" customWidth="1"/>
    <col min="4866" max="4867" width="2.6328125" style="2409" customWidth="1"/>
    <col min="4868" max="4869" width="6.6328125" style="2409" customWidth="1"/>
    <col min="4870" max="4871" width="2.6328125" style="2409" customWidth="1"/>
    <col min="4872" max="4873" width="6.6328125" style="2409" customWidth="1"/>
    <col min="4874" max="4875" width="2.6328125" style="2409" customWidth="1"/>
    <col min="4876" max="4877" width="6.6328125" style="2409" customWidth="1"/>
    <col min="4878" max="4879" width="2.6328125" style="2409" customWidth="1"/>
    <col min="4880" max="4881" width="6.6328125" style="2409" customWidth="1"/>
    <col min="4882" max="4883" width="2.6328125" style="2409" customWidth="1"/>
    <col min="4884" max="4885" width="6.6328125" style="2409" customWidth="1"/>
    <col min="4886" max="4887" width="2.6328125" style="2409" customWidth="1"/>
    <col min="4888" max="4889" width="6.6328125" style="2409" customWidth="1"/>
    <col min="4890" max="5120" width="10" style="2409"/>
    <col min="5121" max="5121" width="3.6328125" style="2409" customWidth="1"/>
    <col min="5122" max="5123" width="2.6328125" style="2409" customWidth="1"/>
    <col min="5124" max="5125" width="6.6328125" style="2409" customWidth="1"/>
    <col min="5126" max="5127" width="2.6328125" style="2409" customWidth="1"/>
    <col min="5128" max="5129" width="6.6328125" style="2409" customWidth="1"/>
    <col min="5130" max="5131" width="2.6328125" style="2409" customWidth="1"/>
    <col min="5132" max="5133" width="6.6328125" style="2409" customWidth="1"/>
    <col min="5134" max="5135" width="2.6328125" style="2409" customWidth="1"/>
    <col min="5136" max="5137" width="6.6328125" style="2409" customWidth="1"/>
    <col min="5138" max="5139" width="2.6328125" style="2409" customWidth="1"/>
    <col min="5140" max="5141" width="6.6328125" style="2409" customWidth="1"/>
    <col min="5142" max="5143" width="2.6328125" style="2409" customWidth="1"/>
    <col min="5144" max="5145" width="6.6328125" style="2409" customWidth="1"/>
    <col min="5146" max="5376" width="10" style="2409"/>
    <col min="5377" max="5377" width="3.6328125" style="2409" customWidth="1"/>
    <col min="5378" max="5379" width="2.6328125" style="2409" customWidth="1"/>
    <col min="5380" max="5381" width="6.6328125" style="2409" customWidth="1"/>
    <col min="5382" max="5383" width="2.6328125" style="2409" customWidth="1"/>
    <col min="5384" max="5385" width="6.6328125" style="2409" customWidth="1"/>
    <col min="5386" max="5387" width="2.6328125" style="2409" customWidth="1"/>
    <col min="5388" max="5389" width="6.6328125" style="2409" customWidth="1"/>
    <col min="5390" max="5391" width="2.6328125" style="2409" customWidth="1"/>
    <col min="5392" max="5393" width="6.6328125" style="2409" customWidth="1"/>
    <col min="5394" max="5395" width="2.6328125" style="2409" customWidth="1"/>
    <col min="5396" max="5397" width="6.6328125" style="2409" customWidth="1"/>
    <col min="5398" max="5399" width="2.6328125" style="2409" customWidth="1"/>
    <col min="5400" max="5401" width="6.6328125" style="2409" customWidth="1"/>
    <col min="5402" max="5632" width="10" style="2409"/>
    <col min="5633" max="5633" width="3.6328125" style="2409" customWidth="1"/>
    <col min="5634" max="5635" width="2.6328125" style="2409" customWidth="1"/>
    <col min="5636" max="5637" width="6.6328125" style="2409" customWidth="1"/>
    <col min="5638" max="5639" width="2.6328125" style="2409" customWidth="1"/>
    <col min="5640" max="5641" width="6.6328125" style="2409" customWidth="1"/>
    <col min="5642" max="5643" width="2.6328125" style="2409" customWidth="1"/>
    <col min="5644" max="5645" width="6.6328125" style="2409" customWidth="1"/>
    <col min="5646" max="5647" width="2.6328125" style="2409" customWidth="1"/>
    <col min="5648" max="5649" width="6.6328125" style="2409" customWidth="1"/>
    <col min="5650" max="5651" width="2.6328125" style="2409" customWidth="1"/>
    <col min="5652" max="5653" width="6.6328125" style="2409" customWidth="1"/>
    <col min="5654" max="5655" width="2.6328125" style="2409" customWidth="1"/>
    <col min="5656" max="5657" width="6.6328125" style="2409" customWidth="1"/>
    <col min="5658" max="5888" width="10" style="2409"/>
    <col min="5889" max="5889" width="3.6328125" style="2409" customWidth="1"/>
    <col min="5890" max="5891" width="2.6328125" style="2409" customWidth="1"/>
    <col min="5892" max="5893" width="6.6328125" style="2409" customWidth="1"/>
    <col min="5894" max="5895" width="2.6328125" style="2409" customWidth="1"/>
    <col min="5896" max="5897" width="6.6328125" style="2409" customWidth="1"/>
    <col min="5898" max="5899" width="2.6328125" style="2409" customWidth="1"/>
    <col min="5900" max="5901" width="6.6328125" style="2409" customWidth="1"/>
    <col min="5902" max="5903" width="2.6328125" style="2409" customWidth="1"/>
    <col min="5904" max="5905" width="6.6328125" style="2409" customWidth="1"/>
    <col min="5906" max="5907" width="2.6328125" style="2409" customWidth="1"/>
    <col min="5908" max="5909" width="6.6328125" style="2409" customWidth="1"/>
    <col min="5910" max="5911" width="2.6328125" style="2409" customWidth="1"/>
    <col min="5912" max="5913" width="6.6328125" style="2409" customWidth="1"/>
    <col min="5914" max="6144" width="10" style="2409"/>
    <col min="6145" max="6145" width="3.6328125" style="2409" customWidth="1"/>
    <col min="6146" max="6147" width="2.6328125" style="2409" customWidth="1"/>
    <col min="6148" max="6149" width="6.6328125" style="2409" customWidth="1"/>
    <col min="6150" max="6151" width="2.6328125" style="2409" customWidth="1"/>
    <col min="6152" max="6153" width="6.6328125" style="2409" customWidth="1"/>
    <col min="6154" max="6155" width="2.6328125" style="2409" customWidth="1"/>
    <col min="6156" max="6157" width="6.6328125" style="2409" customWidth="1"/>
    <col min="6158" max="6159" width="2.6328125" style="2409" customWidth="1"/>
    <col min="6160" max="6161" width="6.6328125" style="2409" customWidth="1"/>
    <col min="6162" max="6163" width="2.6328125" style="2409" customWidth="1"/>
    <col min="6164" max="6165" width="6.6328125" style="2409" customWidth="1"/>
    <col min="6166" max="6167" width="2.6328125" style="2409" customWidth="1"/>
    <col min="6168" max="6169" width="6.6328125" style="2409" customWidth="1"/>
    <col min="6170" max="6400" width="10" style="2409"/>
    <col min="6401" max="6401" width="3.6328125" style="2409" customWidth="1"/>
    <col min="6402" max="6403" width="2.6328125" style="2409" customWidth="1"/>
    <col min="6404" max="6405" width="6.6328125" style="2409" customWidth="1"/>
    <col min="6406" max="6407" width="2.6328125" style="2409" customWidth="1"/>
    <col min="6408" max="6409" width="6.6328125" style="2409" customWidth="1"/>
    <col min="6410" max="6411" width="2.6328125" style="2409" customWidth="1"/>
    <col min="6412" max="6413" width="6.6328125" style="2409" customWidth="1"/>
    <col min="6414" max="6415" width="2.6328125" style="2409" customWidth="1"/>
    <col min="6416" max="6417" width="6.6328125" style="2409" customWidth="1"/>
    <col min="6418" max="6419" width="2.6328125" style="2409" customWidth="1"/>
    <col min="6420" max="6421" width="6.6328125" style="2409" customWidth="1"/>
    <col min="6422" max="6423" width="2.6328125" style="2409" customWidth="1"/>
    <col min="6424" max="6425" width="6.6328125" style="2409" customWidth="1"/>
    <col min="6426" max="6656" width="10" style="2409"/>
    <col min="6657" max="6657" width="3.6328125" style="2409" customWidth="1"/>
    <col min="6658" max="6659" width="2.6328125" style="2409" customWidth="1"/>
    <col min="6660" max="6661" width="6.6328125" style="2409" customWidth="1"/>
    <col min="6662" max="6663" width="2.6328125" style="2409" customWidth="1"/>
    <col min="6664" max="6665" width="6.6328125" style="2409" customWidth="1"/>
    <col min="6666" max="6667" width="2.6328125" style="2409" customWidth="1"/>
    <col min="6668" max="6669" width="6.6328125" style="2409" customWidth="1"/>
    <col min="6670" max="6671" width="2.6328125" style="2409" customWidth="1"/>
    <col min="6672" max="6673" width="6.6328125" style="2409" customWidth="1"/>
    <col min="6674" max="6675" width="2.6328125" style="2409" customWidth="1"/>
    <col min="6676" max="6677" width="6.6328125" style="2409" customWidth="1"/>
    <col min="6678" max="6679" width="2.6328125" style="2409" customWidth="1"/>
    <col min="6680" max="6681" width="6.6328125" style="2409" customWidth="1"/>
    <col min="6682" max="6912" width="10" style="2409"/>
    <col min="6913" max="6913" width="3.6328125" style="2409" customWidth="1"/>
    <col min="6914" max="6915" width="2.6328125" style="2409" customWidth="1"/>
    <col min="6916" max="6917" width="6.6328125" style="2409" customWidth="1"/>
    <col min="6918" max="6919" width="2.6328125" style="2409" customWidth="1"/>
    <col min="6920" max="6921" width="6.6328125" style="2409" customWidth="1"/>
    <col min="6922" max="6923" width="2.6328125" style="2409" customWidth="1"/>
    <col min="6924" max="6925" width="6.6328125" style="2409" customWidth="1"/>
    <col min="6926" max="6927" width="2.6328125" style="2409" customWidth="1"/>
    <col min="6928" max="6929" width="6.6328125" style="2409" customWidth="1"/>
    <col min="6930" max="6931" width="2.6328125" style="2409" customWidth="1"/>
    <col min="6932" max="6933" width="6.6328125" style="2409" customWidth="1"/>
    <col min="6934" max="6935" width="2.6328125" style="2409" customWidth="1"/>
    <col min="6936" max="6937" width="6.6328125" style="2409" customWidth="1"/>
    <col min="6938" max="7168" width="10" style="2409"/>
    <col min="7169" max="7169" width="3.6328125" style="2409" customWidth="1"/>
    <col min="7170" max="7171" width="2.6328125" style="2409" customWidth="1"/>
    <col min="7172" max="7173" width="6.6328125" style="2409" customWidth="1"/>
    <col min="7174" max="7175" width="2.6328125" style="2409" customWidth="1"/>
    <col min="7176" max="7177" width="6.6328125" style="2409" customWidth="1"/>
    <col min="7178" max="7179" width="2.6328125" style="2409" customWidth="1"/>
    <col min="7180" max="7181" width="6.6328125" style="2409" customWidth="1"/>
    <col min="7182" max="7183" width="2.6328125" style="2409" customWidth="1"/>
    <col min="7184" max="7185" width="6.6328125" style="2409" customWidth="1"/>
    <col min="7186" max="7187" width="2.6328125" style="2409" customWidth="1"/>
    <col min="7188" max="7189" width="6.6328125" style="2409" customWidth="1"/>
    <col min="7190" max="7191" width="2.6328125" style="2409" customWidth="1"/>
    <col min="7192" max="7193" width="6.6328125" style="2409" customWidth="1"/>
    <col min="7194" max="7424" width="10" style="2409"/>
    <col min="7425" max="7425" width="3.6328125" style="2409" customWidth="1"/>
    <col min="7426" max="7427" width="2.6328125" style="2409" customWidth="1"/>
    <col min="7428" max="7429" width="6.6328125" style="2409" customWidth="1"/>
    <col min="7430" max="7431" width="2.6328125" style="2409" customWidth="1"/>
    <col min="7432" max="7433" width="6.6328125" style="2409" customWidth="1"/>
    <col min="7434" max="7435" width="2.6328125" style="2409" customWidth="1"/>
    <col min="7436" max="7437" width="6.6328125" style="2409" customWidth="1"/>
    <col min="7438" max="7439" width="2.6328125" style="2409" customWidth="1"/>
    <col min="7440" max="7441" width="6.6328125" style="2409" customWidth="1"/>
    <col min="7442" max="7443" width="2.6328125" style="2409" customWidth="1"/>
    <col min="7444" max="7445" width="6.6328125" style="2409" customWidth="1"/>
    <col min="7446" max="7447" width="2.6328125" style="2409" customWidth="1"/>
    <col min="7448" max="7449" width="6.6328125" style="2409" customWidth="1"/>
    <col min="7450" max="7680" width="10" style="2409"/>
    <col min="7681" max="7681" width="3.6328125" style="2409" customWidth="1"/>
    <col min="7682" max="7683" width="2.6328125" style="2409" customWidth="1"/>
    <col min="7684" max="7685" width="6.6328125" style="2409" customWidth="1"/>
    <col min="7686" max="7687" width="2.6328125" style="2409" customWidth="1"/>
    <col min="7688" max="7689" width="6.6328125" style="2409" customWidth="1"/>
    <col min="7690" max="7691" width="2.6328125" style="2409" customWidth="1"/>
    <col min="7692" max="7693" width="6.6328125" style="2409" customWidth="1"/>
    <col min="7694" max="7695" width="2.6328125" style="2409" customWidth="1"/>
    <col min="7696" max="7697" width="6.6328125" style="2409" customWidth="1"/>
    <col min="7698" max="7699" width="2.6328125" style="2409" customWidth="1"/>
    <col min="7700" max="7701" width="6.6328125" style="2409" customWidth="1"/>
    <col min="7702" max="7703" width="2.6328125" style="2409" customWidth="1"/>
    <col min="7704" max="7705" width="6.6328125" style="2409" customWidth="1"/>
    <col min="7706" max="7936" width="10" style="2409"/>
    <col min="7937" max="7937" width="3.6328125" style="2409" customWidth="1"/>
    <col min="7938" max="7939" width="2.6328125" style="2409" customWidth="1"/>
    <col min="7940" max="7941" width="6.6328125" style="2409" customWidth="1"/>
    <col min="7942" max="7943" width="2.6328125" style="2409" customWidth="1"/>
    <col min="7944" max="7945" width="6.6328125" style="2409" customWidth="1"/>
    <col min="7946" max="7947" width="2.6328125" style="2409" customWidth="1"/>
    <col min="7948" max="7949" width="6.6328125" style="2409" customWidth="1"/>
    <col min="7950" max="7951" width="2.6328125" style="2409" customWidth="1"/>
    <col min="7952" max="7953" width="6.6328125" style="2409" customWidth="1"/>
    <col min="7954" max="7955" width="2.6328125" style="2409" customWidth="1"/>
    <col min="7956" max="7957" width="6.6328125" style="2409" customWidth="1"/>
    <col min="7958" max="7959" width="2.6328125" style="2409" customWidth="1"/>
    <col min="7960" max="7961" width="6.6328125" style="2409" customWidth="1"/>
    <col min="7962" max="8192" width="10" style="2409"/>
    <col min="8193" max="8193" width="3.6328125" style="2409" customWidth="1"/>
    <col min="8194" max="8195" width="2.6328125" style="2409" customWidth="1"/>
    <col min="8196" max="8197" width="6.6328125" style="2409" customWidth="1"/>
    <col min="8198" max="8199" width="2.6328125" style="2409" customWidth="1"/>
    <col min="8200" max="8201" width="6.6328125" style="2409" customWidth="1"/>
    <col min="8202" max="8203" width="2.6328125" style="2409" customWidth="1"/>
    <col min="8204" max="8205" width="6.6328125" style="2409" customWidth="1"/>
    <col min="8206" max="8207" width="2.6328125" style="2409" customWidth="1"/>
    <col min="8208" max="8209" width="6.6328125" style="2409" customWidth="1"/>
    <col min="8210" max="8211" width="2.6328125" style="2409" customWidth="1"/>
    <col min="8212" max="8213" width="6.6328125" style="2409" customWidth="1"/>
    <col min="8214" max="8215" width="2.6328125" style="2409" customWidth="1"/>
    <col min="8216" max="8217" width="6.6328125" style="2409" customWidth="1"/>
    <col min="8218" max="8448" width="10" style="2409"/>
    <col min="8449" max="8449" width="3.6328125" style="2409" customWidth="1"/>
    <col min="8450" max="8451" width="2.6328125" style="2409" customWidth="1"/>
    <col min="8452" max="8453" width="6.6328125" style="2409" customWidth="1"/>
    <col min="8454" max="8455" width="2.6328125" style="2409" customWidth="1"/>
    <col min="8456" max="8457" width="6.6328125" style="2409" customWidth="1"/>
    <col min="8458" max="8459" width="2.6328125" style="2409" customWidth="1"/>
    <col min="8460" max="8461" width="6.6328125" style="2409" customWidth="1"/>
    <col min="8462" max="8463" width="2.6328125" style="2409" customWidth="1"/>
    <col min="8464" max="8465" width="6.6328125" style="2409" customWidth="1"/>
    <col min="8466" max="8467" width="2.6328125" style="2409" customWidth="1"/>
    <col min="8468" max="8469" width="6.6328125" style="2409" customWidth="1"/>
    <col min="8470" max="8471" width="2.6328125" style="2409" customWidth="1"/>
    <col min="8472" max="8473" width="6.6328125" style="2409" customWidth="1"/>
    <col min="8474" max="8704" width="10" style="2409"/>
    <col min="8705" max="8705" width="3.6328125" style="2409" customWidth="1"/>
    <col min="8706" max="8707" width="2.6328125" style="2409" customWidth="1"/>
    <col min="8708" max="8709" width="6.6328125" style="2409" customWidth="1"/>
    <col min="8710" max="8711" width="2.6328125" style="2409" customWidth="1"/>
    <col min="8712" max="8713" width="6.6328125" style="2409" customWidth="1"/>
    <col min="8714" max="8715" width="2.6328125" style="2409" customWidth="1"/>
    <col min="8716" max="8717" width="6.6328125" style="2409" customWidth="1"/>
    <col min="8718" max="8719" width="2.6328125" style="2409" customWidth="1"/>
    <col min="8720" max="8721" width="6.6328125" style="2409" customWidth="1"/>
    <col min="8722" max="8723" width="2.6328125" style="2409" customWidth="1"/>
    <col min="8724" max="8725" width="6.6328125" style="2409" customWidth="1"/>
    <col min="8726" max="8727" width="2.6328125" style="2409" customWidth="1"/>
    <col min="8728" max="8729" width="6.6328125" style="2409" customWidth="1"/>
    <col min="8730" max="8960" width="10" style="2409"/>
    <col min="8961" max="8961" width="3.6328125" style="2409" customWidth="1"/>
    <col min="8962" max="8963" width="2.6328125" style="2409" customWidth="1"/>
    <col min="8964" max="8965" width="6.6328125" style="2409" customWidth="1"/>
    <col min="8966" max="8967" width="2.6328125" style="2409" customWidth="1"/>
    <col min="8968" max="8969" width="6.6328125" style="2409" customWidth="1"/>
    <col min="8970" max="8971" width="2.6328125" style="2409" customWidth="1"/>
    <col min="8972" max="8973" width="6.6328125" style="2409" customWidth="1"/>
    <col min="8974" max="8975" width="2.6328125" style="2409" customWidth="1"/>
    <col min="8976" max="8977" width="6.6328125" style="2409" customWidth="1"/>
    <col min="8978" max="8979" width="2.6328125" style="2409" customWidth="1"/>
    <col min="8980" max="8981" width="6.6328125" style="2409" customWidth="1"/>
    <col min="8982" max="8983" width="2.6328125" style="2409" customWidth="1"/>
    <col min="8984" max="8985" width="6.6328125" style="2409" customWidth="1"/>
    <col min="8986" max="9216" width="10" style="2409"/>
    <col min="9217" max="9217" width="3.6328125" style="2409" customWidth="1"/>
    <col min="9218" max="9219" width="2.6328125" style="2409" customWidth="1"/>
    <col min="9220" max="9221" width="6.6328125" style="2409" customWidth="1"/>
    <col min="9222" max="9223" width="2.6328125" style="2409" customWidth="1"/>
    <col min="9224" max="9225" width="6.6328125" style="2409" customWidth="1"/>
    <col min="9226" max="9227" width="2.6328125" style="2409" customWidth="1"/>
    <col min="9228" max="9229" width="6.6328125" style="2409" customWidth="1"/>
    <col min="9230" max="9231" width="2.6328125" style="2409" customWidth="1"/>
    <col min="9232" max="9233" width="6.6328125" style="2409" customWidth="1"/>
    <col min="9234" max="9235" width="2.6328125" style="2409" customWidth="1"/>
    <col min="9236" max="9237" width="6.6328125" style="2409" customWidth="1"/>
    <col min="9238" max="9239" width="2.6328125" style="2409" customWidth="1"/>
    <col min="9240" max="9241" width="6.6328125" style="2409" customWidth="1"/>
    <col min="9242" max="9472" width="10" style="2409"/>
    <col min="9473" max="9473" width="3.6328125" style="2409" customWidth="1"/>
    <col min="9474" max="9475" width="2.6328125" style="2409" customWidth="1"/>
    <col min="9476" max="9477" width="6.6328125" style="2409" customWidth="1"/>
    <col min="9478" max="9479" width="2.6328125" style="2409" customWidth="1"/>
    <col min="9480" max="9481" width="6.6328125" style="2409" customWidth="1"/>
    <col min="9482" max="9483" width="2.6328125" style="2409" customWidth="1"/>
    <col min="9484" max="9485" width="6.6328125" style="2409" customWidth="1"/>
    <col min="9486" max="9487" width="2.6328125" style="2409" customWidth="1"/>
    <col min="9488" max="9489" width="6.6328125" style="2409" customWidth="1"/>
    <col min="9490" max="9491" width="2.6328125" style="2409" customWidth="1"/>
    <col min="9492" max="9493" width="6.6328125" style="2409" customWidth="1"/>
    <col min="9494" max="9495" width="2.6328125" style="2409" customWidth="1"/>
    <col min="9496" max="9497" width="6.6328125" style="2409" customWidth="1"/>
    <col min="9498" max="9728" width="10" style="2409"/>
    <col min="9729" max="9729" width="3.6328125" style="2409" customWidth="1"/>
    <col min="9730" max="9731" width="2.6328125" style="2409" customWidth="1"/>
    <col min="9732" max="9733" width="6.6328125" style="2409" customWidth="1"/>
    <col min="9734" max="9735" width="2.6328125" style="2409" customWidth="1"/>
    <col min="9736" max="9737" width="6.6328125" style="2409" customWidth="1"/>
    <col min="9738" max="9739" width="2.6328125" style="2409" customWidth="1"/>
    <col min="9740" max="9741" width="6.6328125" style="2409" customWidth="1"/>
    <col min="9742" max="9743" width="2.6328125" style="2409" customWidth="1"/>
    <col min="9744" max="9745" width="6.6328125" style="2409" customWidth="1"/>
    <col min="9746" max="9747" width="2.6328125" style="2409" customWidth="1"/>
    <col min="9748" max="9749" width="6.6328125" style="2409" customWidth="1"/>
    <col min="9750" max="9751" width="2.6328125" style="2409" customWidth="1"/>
    <col min="9752" max="9753" width="6.6328125" style="2409" customWidth="1"/>
    <col min="9754" max="9984" width="10" style="2409"/>
    <col min="9985" max="9985" width="3.6328125" style="2409" customWidth="1"/>
    <col min="9986" max="9987" width="2.6328125" style="2409" customWidth="1"/>
    <col min="9988" max="9989" width="6.6328125" style="2409" customWidth="1"/>
    <col min="9990" max="9991" width="2.6328125" style="2409" customWidth="1"/>
    <col min="9992" max="9993" width="6.6328125" style="2409" customWidth="1"/>
    <col min="9994" max="9995" width="2.6328125" style="2409" customWidth="1"/>
    <col min="9996" max="9997" width="6.6328125" style="2409" customWidth="1"/>
    <col min="9998" max="9999" width="2.6328125" style="2409" customWidth="1"/>
    <col min="10000" max="10001" width="6.6328125" style="2409" customWidth="1"/>
    <col min="10002" max="10003" width="2.6328125" style="2409" customWidth="1"/>
    <col min="10004" max="10005" width="6.6328125" style="2409" customWidth="1"/>
    <col min="10006" max="10007" width="2.6328125" style="2409" customWidth="1"/>
    <col min="10008" max="10009" width="6.6328125" style="2409" customWidth="1"/>
    <col min="10010" max="10240" width="10" style="2409"/>
    <col min="10241" max="10241" width="3.6328125" style="2409" customWidth="1"/>
    <col min="10242" max="10243" width="2.6328125" style="2409" customWidth="1"/>
    <col min="10244" max="10245" width="6.6328125" style="2409" customWidth="1"/>
    <col min="10246" max="10247" width="2.6328125" style="2409" customWidth="1"/>
    <col min="10248" max="10249" width="6.6328125" style="2409" customWidth="1"/>
    <col min="10250" max="10251" width="2.6328125" style="2409" customWidth="1"/>
    <col min="10252" max="10253" width="6.6328125" style="2409" customWidth="1"/>
    <col min="10254" max="10255" width="2.6328125" style="2409" customWidth="1"/>
    <col min="10256" max="10257" width="6.6328125" style="2409" customWidth="1"/>
    <col min="10258" max="10259" width="2.6328125" style="2409" customWidth="1"/>
    <col min="10260" max="10261" width="6.6328125" style="2409" customWidth="1"/>
    <col min="10262" max="10263" width="2.6328125" style="2409" customWidth="1"/>
    <col min="10264" max="10265" width="6.6328125" style="2409" customWidth="1"/>
    <col min="10266" max="10496" width="10" style="2409"/>
    <col min="10497" max="10497" width="3.6328125" style="2409" customWidth="1"/>
    <col min="10498" max="10499" width="2.6328125" style="2409" customWidth="1"/>
    <col min="10500" max="10501" width="6.6328125" style="2409" customWidth="1"/>
    <col min="10502" max="10503" width="2.6328125" style="2409" customWidth="1"/>
    <col min="10504" max="10505" width="6.6328125" style="2409" customWidth="1"/>
    <col min="10506" max="10507" width="2.6328125" style="2409" customWidth="1"/>
    <col min="10508" max="10509" width="6.6328125" style="2409" customWidth="1"/>
    <col min="10510" max="10511" width="2.6328125" style="2409" customWidth="1"/>
    <col min="10512" max="10513" width="6.6328125" style="2409" customWidth="1"/>
    <col min="10514" max="10515" width="2.6328125" style="2409" customWidth="1"/>
    <col min="10516" max="10517" width="6.6328125" style="2409" customWidth="1"/>
    <col min="10518" max="10519" width="2.6328125" style="2409" customWidth="1"/>
    <col min="10520" max="10521" width="6.6328125" style="2409" customWidth="1"/>
    <col min="10522" max="10752" width="10" style="2409"/>
    <col min="10753" max="10753" width="3.6328125" style="2409" customWidth="1"/>
    <col min="10754" max="10755" width="2.6328125" style="2409" customWidth="1"/>
    <col min="10756" max="10757" width="6.6328125" style="2409" customWidth="1"/>
    <col min="10758" max="10759" width="2.6328125" style="2409" customWidth="1"/>
    <col min="10760" max="10761" width="6.6328125" style="2409" customWidth="1"/>
    <col min="10762" max="10763" width="2.6328125" style="2409" customWidth="1"/>
    <col min="10764" max="10765" width="6.6328125" style="2409" customWidth="1"/>
    <col min="10766" max="10767" width="2.6328125" style="2409" customWidth="1"/>
    <col min="10768" max="10769" width="6.6328125" style="2409" customWidth="1"/>
    <col min="10770" max="10771" width="2.6328125" style="2409" customWidth="1"/>
    <col min="10772" max="10773" width="6.6328125" style="2409" customWidth="1"/>
    <col min="10774" max="10775" width="2.6328125" style="2409" customWidth="1"/>
    <col min="10776" max="10777" width="6.6328125" style="2409" customWidth="1"/>
    <col min="10778" max="11008" width="10" style="2409"/>
    <col min="11009" max="11009" width="3.6328125" style="2409" customWidth="1"/>
    <col min="11010" max="11011" width="2.6328125" style="2409" customWidth="1"/>
    <col min="11012" max="11013" width="6.6328125" style="2409" customWidth="1"/>
    <col min="11014" max="11015" width="2.6328125" style="2409" customWidth="1"/>
    <col min="11016" max="11017" width="6.6328125" style="2409" customWidth="1"/>
    <col min="11018" max="11019" width="2.6328125" style="2409" customWidth="1"/>
    <col min="11020" max="11021" width="6.6328125" style="2409" customWidth="1"/>
    <col min="11022" max="11023" width="2.6328125" style="2409" customWidth="1"/>
    <col min="11024" max="11025" width="6.6328125" style="2409" customWidth="1"/>
    <col min="11026" max="11027" width="2.6328125" style="2409" customWidth="1"/>
    <col min="11028" max="11029" width="6.6328125" style="2409" customWidth="1"/>
    <col min="11030" max="11031" width="2.6328125" style="2409" customWidth="1"/>
    <col min="11032" max="11033" width="6.6328125" style="2409" customWidth="1"/>
    <col min="11034" max="11264" width="10" style="2409"/>
    <col min="11265" max="11265" width="3.6328125" style="2409" customWidth="1"/>
    <col min="11266" max="11267" width="2.6328125" style="2409" customWidth="1"/>
    <col min="11268" max="11269" width="6.6328125" style="2409" customWidth="1"/>
    <col min="11270" max="11271" width="2.6328125" style="2409" customWidth="1"/>
    <col min="11272" max="11273" width="6.6328125" style="2409" customWidth="1"/>
    <col min="11274" max="11275" width="2.6328125" style="2409" customWidth="1"/>
    <col min="11276" max="11277" width="6.6328125" style="2409" customWidth="1"/>
    <col min="11278" max="11279" width="2.6328125" style="2409" customWidth="1"/>
    <col min="11280" max="11281" width="6.6328125" style="2409" customWidth="1"/>
    <col min="11282" max="11283" width="2.6328125" style="2409" customWidth="1"/>
    <col min="11284" max="11285" width="6.6328125" style="2409" customWidth="1"/>
    <col min="11286" max="11287" width="2.6328125" style="2409" customWidth="1"/>
    <col min="11288" max="11289" width="6.6328125" style="2409" customWidth="1"/>
    <col min="11290" max="11520" width="10" style="2409"/>
    <col min="11521" max="11521" width="3.6328125" style="2409" customWidth="1"/>
    <col min="11522" max="11523" width="2.6328125" style="2409" customWidth="1"/>
    <col min="11524" max="11525" width="6.6328125" style="2409" customWidth="1"/>
    <col min="11526" max="11527" width="2.6328125" style="2409" customWidth="1"/>
    <col min="11528" max="11529" width="6.6328125" style="2409" customWidth="1"/>
    <col min="11530" max="11531" width="2.6328125" style="2409" customWidth="1"/>
    <col min="11532" max="11533" width="6.6328125" style="2409" customWidth="1"/>
    <col min="11534" max="11535" width="2.6328125" style="2409" customWidth="1"/>
    <col min="11536" max="11537" width="6.6328125" style="2409" customWidth="1"/>
    <col min="11538" max="11539" width="2.6328125" style="2409" customWidth="1"/>
    <col min="11540" max="11541" width="6.6328125" style="2409" customWidth="1"/>
    <col min="11542" max="11543" width="2.6328125" style="2409" customWidth="1"/>
    <col min="11544" max="11545" width="6.6328125" style="2409" customWidth="1"/>
    <col min="11546" max="11776" width="10" style="2409"/>
    <col min="11777" max="11777" width="3.6328125" style="2409" customWidth="1"/>
    <col min="11778" max="11779" width="2.6328125" style="2409" customWidth="1"/>
    <col min="11780" max="11781" width="6.6328125" style="2409" customWidth="1"/>
    <col min="11782" max="11783" width="2.6328125" style="2409" customWidth="1"/>
    <col min="11784" max="11785" width="6.6328125" style="2409" customWidth="1"/>
    <col min="11786" max="11787" width="2.6328125" style="2409" customWidth="1"/>
    <col min="11788" max="11789" width="6.6328125" style="2409" customWidth="1"/>
    <col min="11790" max="11791" width="2.6328125" style="2409" customWidth="1"/>
    <col min="11792" max="11793" width="6.6328125" style="2409" customWidth="1"/>
    <col min="11794" max="11795" width="2.6328125" style="2409" customWidth="1"/>
    <col min="11796" max="11797" width="6.6328125" style="2409" customWidth="1"/>
    <col min="11798" max="11799" width="2.6328125" style="2409" customWidth="1"/>
    <col min="11800" max="11801" width="6.6328125" style="2409" customWidth="1"/>
    <col min="11802" max="12032" width="10" style="2409"/>
    <col min="12033" max="12033" width="3.6328125" style="2409" customWidth="1"/>
    <col min="12034" max="12035" width="2.6328125" style="2409" customWidth="1"/>
    <col min="12036" max="12037" width="6.6328125" style="2409" customWidth="1"/>
    <col min="12038" max="12039" width="2.6328125" style="2409" customWidth="1"/>
    <col min="12040" max="12041" width="6.6328125" style="2409" customWidth="1"/>
    <col min="12042" max="12043" width="2.6328125" style="2409" customWidth="1"/>
    <col min="12044" max="12045" width="6.6328125" style="2409" customWidth="1"/>
    <col min="12046" max="12047" width="2.6328125" style="2409" customWidth="1"/>
    <col min="12048" max="12049" width="6.6328125" style="2409" customWidth="1"/>
    <col min="12050" max="12051" width="2.6328125" style="2409" customWidth="1"/>
    <col min="12052" max="12053" width="6.6328125" style="2409" customWidth="1"/>
    <col min="12054" max="12055" width="2.6328125" style="2409" customWidth="1"/>
    <col min="12056" max="12057" width="6.6328125" style="2409" customWidth="1"/>
    <col min="12058" max="12288" width="10" style="2409"/>
    <col min="12289" max="12289" width="3.6328125" style="2409" customWidth="1"/>
    <col min="12290" max="12291" width="2.6328125" style="2409" customWidth="1"/>
    <col min="12292" max="12293" width="6.6328125" style="2409" customWidth="1"/>
    <col min="12294" max="12295" width="2.6328125" style="2409" customWidth="1"/>
    <col min="12296" max="12297" width="6.6328125" style="2409" customWidth="1"/>
    <col min="12298" max="12299" width="2.6328125" style="2409" customWidth="1"/>
    <col min="12300" max="12301" width="6.6328125" style="2409" customWidth="1"/>
    <col min="12302" max="12303" width="2.6328125" style="2409" customWidth="1"/>
    <col min="12304" max="12305" width="6.6328125" style="2409" customWidth="1"/>
    <col min="12306" max="12307" width="2.6328125" style="2409" customWidth="1"/>
    <col min="12308" max="12309" width="6.6328125" style="2409" customWidth="1"/>
    <col min="12310" max="12311" width="2.6328125" style="2409" customWidth="1"/>
    <col min="12312" max="12313" width="6.6328125" style="2409" customWidth="1"/>
    <col min="12314" max="12544" width="10" style="2409"/>
    <col min="12545" max="12545" width="3.6328125" style="2409" customWidth="1"/>
    <col min="12546" max="12547" width="2.6328125" style="2409" customWidth="1"/>
    <col min="12548" max="12549" width="6.6328125" style="2409" customWidth="1"/>
    <col min="12550" max="12551" width="2.6328125" style="2409" customWidth="1"/>
    <col min="12552" max="12553" width="6.6328125" style="2409" customWidth="1"/>
    <col min="12554" max="12555" width="2.6328125" style="2409" customWidth="1"/>
    <col min="12556" max="12557" width="6.6328125" style="2409" customWidth="1"/>
    <col min="12558" max="12559" width="2.6328125" style="2409" customWidth="1"/>
    <col min="12560" max="12561" width="6.6328125" style="2409" customWidth="1"/>
    <col min="12562" max="12563" width="2.6328125" style="2409" customWidth="1"/>
    <col min="12564" max="12565" width="6.6328125" style="2409" customWidth="1"/>
    <col min="12566" max="12567" width="2.6328125" style="2409" customWidth="1"/>
    <col min="12568" max="12569" width="6.6328125" style="2409" customWidth="1"/>
    <col min="12570" max="12800" width="10" style="2409"/>
    <col min="12801" max="12801" width="3.6328125" style="2409" customWidth="1"/>
    <col min="12802" max="12803" width="2.6328125" style="2409" customWidth="1"/>
    <col min="12804" max="12805" width="6.6328125" style="2409" customWidth="1"/>
    <col min="12806" max="12807" width="2.6328125" style="2409" customWidth="1"/>
    <col min="12808" max="12809" width="6.6328125" style="2409" customWidth="1"/>
    <col min="12810" max="12811" width="2.6328125" style="2409" customWidth="1"/>
    <col min="12812" max="12813" width="6.6328125" style="2409" customWidth="1"/>
    <col min="12814" max="12815" width="2.6328125" style="2409" customWidth="1"/>
    <col min="12816" max="12817" width="6.6328125" style="2409" customWidth="1"/>
    <col min="12818" max="12819" width="2.6328125" style="2409" customWidth="1"/>
    <col min="12820" max="12821" width="6.6328125" style="2409" customWidth="1"/>
    <col min="12822" max="12823" width="2.6328125" style="2409" customWidth="1"/>
    <col min="12824" max="12825" width="6.6328125" style="2409" customWidth="1"/>
    <col min="12826" max="13056" width="10" style="2409"/>
    <col min="13057" max="13057" width="3.6328125" style="2409" customWidth="1"/>
    <col min="13058" max="13059" width="2.6328125" style="2409" customWidth="1"/>
    <col min="13060" max="13061" width="6.6328125" style="2409" customWidth="1"/>
    <col min="13062" max="13063" width="2.6328125" style="2409" customWidth="1"/>
    <col min="13064" max="13065" width="6.6328125" style="2409" customWidth="1"/>
    <col min="13066" max="13067" width="2.6328125" style="2409" customWidth="1"/>
    <col min="13068" max="13069" width="6.6328125" style="2409" customWidth="1"/>
    <col min="13070" max="13071" width="2.6328125" style="2409" customWidth="1"/>
    <col min="13072" max="13073" width="6.6328125" style="2409" customWidth="1"/>
    <col min="13074" max="13075" width="2.6328125" style="2409" customWidth="1"/>
    <col min="13076" max="13077" width="6.6328125" style="2409" customWidth="1"/>
    <col min="13078" max="13079" width="2.6328125" style="2409" customWidth="1"/>
    <col min="13080" max="13081" width="6.6328125" style="2409" customWidth="1"/>
    <col min="13082" max="13312" width="10" style="2409"/>
    <col min="13313" max="13313" width="3.6328125" style="2409" customWidth="1"/>
    <col min="13314" max="13315" width="2.6328125" style="2409" customWidth="1"/>
    <col min="13316" max="13317" width="6.6328125" style="2409" customWidth="1"/>
    <col min="13318" max="13319" width="2.6328125" style="2409" customWidth="1"/>
    <col min="13320" max="13321" width="6.6328125" style="2409" customWidth="1"/>
    <col min="13322" max="13323" width="2.6328125" style="2409" customWidth="1"/>
    <col min="13324" max="13325" width="6.6328125" style="2409" customWidth="1"/>
    <col min="13326" max="13327" width="2.6328125" style="2409" customWidth="1"/>
    <col min="13328" max="13329" width="6.6328125" style="2409" customWidth="1"/>
    <col min="13330" max="13331" width="2.6328125" style="2409" customWidth="1"/>
    <col min="13332" max="13333" width="6.6328125" style="2409" customWidth="1"/>
    <col min="13334" max="13335" width="2.6328125" style="2409" customWidth="1"/>
    <col min="13336" max="13337" width="6.6328125" style="2409" customWidth="1"/>
    <col min="13338" max="13568" width="10" style="2409"/>
    <col min="13569" max="13569" width="3.6328125" style="2409" customWidth="1"/>
    <col min="13570" max="13571" width="2.6328125" style="2409" customWidth="1"/>
    <col min="13572" max="13573" width="6.6328125" style="2409" customWidth="1"/>
    <col min="13574" max="13575" width="2.6328125" style="2409" customWidth="1"/>
    <col min="13576" max="13577" width="6.6328125" style="2409" customWidth="1"/>
    <col min="13578" max="13579" width="2.6328125" style="2409" customWidth="1"/>
    <col min="13580" max="13581" width="6.6328125" style="2409" customWidth="1"/>
    <col min="13582" max="13583" width="2.6328125" style="2409" customWidth="1"/>
    <col min="13584" max="13585" width="6.6328125" style="2409" customWidth="1"/>
    <col min="13586" max="13587" width="2.6328125" style="2409" customWidth="1"/>
    <col min="13588" max="13589" width="6.6328125" style="2409" customWidth="1"/>
    <col min="13590" max="13591" width="2.6328125" style="2409" customWidth="1"/>
    <col min="13592" max="13593" width="6.6328125" style="2409" customWidth="1"/>
    <col min="13594" max="13824" width="10" style="2409"/>
    <col min="13825" max="13825" width="3.6328125" style="2409" customWidth="1"/>
    <col min="13826" max="13827" width="2.6328125" style="2409" customWidth="1"/>
    <col min="13828" max="13829" width="6.6328125" style="2409" customWidth="1"/>
    <col min="13830" max="13831" width="2.6328125" style="2409" customWidth="1"/>
    <col min="13832" max="13833" width="6.6328125" style="2409" customWidth="1"/>
    <col min="13834" max="13835" width="2.6328125" style="2409" customWidth="1"/>
    <col min="13836" max="13837" width="6.6328125" style="2409" customWidth="1"/>
    <col min="13838" max="13839" width="2.6328125" style="2409" customWidth="1"/>
    <col min="13840" max="13841" width="6.6328125" style="2409" customWidth="1"/>
    <col min="13842" max="13843" width="2.6328125" style="2409" customWidth="1"/>
    <col min="13844" max="13845" width="6.6328125" style="2409" customWidth="1"/>
    <col min="13846" max="13847" width="2.6328125" style="2409" customWidth="1"/>
    <col min="13848" max="13849" width="6.6328125" style="2409" customWidth="1"/>
    <col min="13850" max="14080" width="10" style="2409"/>
    <col min="14081" max="14081" width="3.6328125" style="2409" customWidth="1"/>
    <col min="14082" max="14083" width="2.6328125" style="2409" customWidth="1"/>
    <col min="14084" max="14085" width="6.6328125" style="2409" customWidth="1"/>
    <col min="14086" max="14087" width="2.6328125" style="2409" customWidth="1"/>
    <col min="14088" max="14089" width="6.6328125" style="2409" customWidth="1"/>
    <col min="14090" max="14091" width="2.6328125" style="2409" customWidth="1"/>
    <col min="14092" max="14093" width="6.6328125" style="2409" customWidth="1"/>
    <col min="14094" max="14095" width="2.6328125" style="2409" customWidth="1"/>
    <col min="14096" max="14097" width="6.6328125" style="2409" customWidth="1"/>
    <col min="14098" max="14099" width="2.6328125" style="2409" customWidth="1"/>
    <col min="14100" max="14101" width="6.6328125" style="2409" customWidth="1"/>
    <col min="14102" max="14103" width="2.6328125" style="2409" customWidth="1"/>
    <col min="14104" max="14105" width="6.6328125" style="2409" customWidth="1"/>
    <col min="14106" max="14336" width="10" style="2409"/>
    <col min="14337" max="14337" width="3.6328125" style="2409" customWidth="1"/>
    <col min="14338" max="14339" width="2.6328125" style="2409" customWidth="1"/>
    <col min="14340" max="14341" width="6.6328125" style="2409" customWidth="1"/>
    <col min="14342" max="14343" width="2.6328125" style="2409" customWidth="1"/>
    <col min="14344" max="14345" width="6.6328125" style="2409" customWidth="1"/>
    <col min="14346" max="14347" width="2.6328125" style="2409" customWidth="1"/>
    <col min="14348" max="14349" width="6.6328125" style="2409" customWidth="1"/>
    <col min="14350" max="14351" width="2.6328125" style="2409" customWidth="1"/>
    <col min="14352" max="14353" width="6.6328125" style="2409" customWidth="1"/>
    <col min="14354" max="14355" width="2.6328125" style="2409" customWidth="1"/>
    <col min="14356" max="14357" width="6.6328125" style="2409" customWidth="1"/>
    <col min="14358" max="14359" width="2.6328125" style="2409" customWidth="1"/>
    <col min="14360" max="14361" width="6.6328125" style="2409" customWidth="1"/>
    <col min="14362" max="14592" width="10" style="2409"/>
    <col min="14593" max="14593" width="3.6328125" style="2409" customWidth="1"/>
    <col min="14594" max="14595" width="2.6328125" style="2409" customWidth="1"/>
    <col min="14596" max="14597" width="6.6328125" style="2409" customWidth="1"/>
    <col min="14598" max="14599" width="2.6328125" style="2409" customWidth="1"/>
    <col min="14600" max="14601" width="6.6328125" style="2409" customWidth="1"/>
    <col min="14602" max="14603" width="2.6328125" style="2409" customWidth="1"/>
    <col min="14604" max="14605" width="6.6328125" style="2409" customWidth="1"/>
    <col min="14606" max="14607" width="2.6328125" style="2409" customWidth="1"/>
    <col min="14608" max="14609" width="6.6328125" style="2409" customWidth="1"/>
    <col min="14610" max="14611" width="2.6328125" style="2409" customWidth="1"/>
    <col min="14612" max="14613" width="6.6328125" style="2409" customWidth="1"/>
    <col min="14614" max="14615" width="2.6328125" style="2409" customWidth="1"/>
    <col min="14616" max="14617" width="6.6328125" style="2409" customWidth="1"/>
    <col min="14618" max="14848" width="10" style="2409"/>
    <col min="14849" max="14849" width="3.6328125" style="2409" customWidth="1"/>
    <col min="14850" max="14851" width="2.6328125" style="2409" customWidth="1"/>
    <col min="14852" max="14853" width="6.6328125" style="2409" customWidth="1"/>
    <col min="14854" max="14855" width="2.6328125" style="2409" customWidth="1"/>
    <col min="14856" max="14857" width="6.6328125" style="2409" customWidth="1"/>
    <col min="14858" max="14859" width="2.6328125" style="2409" customWidth="1"/>
    <col min="14860" max="14861" width="6.6328125" style="2409" customWidth="1"/>
    <col min="14862" max="14863" width="2.6328125" style="2409" customWidth="1"/>
    <col min="14864" max="14865" width="6.6328125" style="2409" customWidth="1"/>
    <col min="14866" max="14867" width="2.6328125" style="2409" customWidth="1"/>
    <col min="14868" max="14869" width="6.6328125" style="2409" customWidth="1"/>
    <col min="14870" max="14871" width="2.6328125" style="2409" customWidth="1"/>
    <col min="14872" max="14873" width="6.6328125" style="2409" customWidth="1"/>
    <col min="14874" max="15104" width="10" style="2409"/>
    <col min="15105" max="15105" width="3.6328125" style="2409" customWidth="1"/>
    <col min="15106" max="15107" width="2.6328125" style="2409" customWidth="1"/>
    <col min="15108" max="15109" width="6.6328125" style="2409" customWidth="1"/>
    <col min="15110" max="15111" width="2.6328125" style="2409" customWidth="1"/>
    <col min="15112" max="15113" width="6.6328125" style="2409" customWidth="1"/>
    <col min="15114" max="15115" width="2.6328125" style="2409" customWidth="1"/>
    <col min="15116" max="15117" width="6.6328125" style="2409" customWidth="1"/>
    <col min="15118" max="15119" width="2.6328125" style="2409" customWidth="1"/>
    <col min="15120" max="15121" width="6.6328125" style="2409" customWidth="1"/>
    <col min="15122" max="15123" width="2.6328125" style="2409" customWidth="1"/>
    <col min="15124" max="15125" width="6.6328125" style="2409" customWidth="1"/>
    <col min="15126" max="15127" width="2.6328125" style="2409" customWidth="1"/>
    <col min="15128" max="15129" width="6.6328125" style="2409" customWidth="1"/>
    <col min="15130" max="15360" width="10" style="2409"/>
    <col min="15361" max="15361" width="3.6328125" style="2409" customWidth="1"/>
    <col min="15362" max="15363" width="2.6328125" style="2409" customWidth="1"/>
    <col min="15364" max="15365" width="6.6328125" style="2409" customWidth="1"/>
    <col min="15366" max="15367" width="2.6328125" style="2409" customWidth="1"/>
    <col min="15368" max="15369" width="6.6328125" style="2409" customWidth="1"/>
    <col min="15370" max="15371" width="2.6328125" style="2409" customWidth="1"/>
    <col min="15372" max="15373" width="6.6328125" style="2409" customWidth="1"/>
    <col min="15374" max="15375" width="2.6328125" style="2409" customWidth="1"/>
    <col min="15376" max="15377" width="6.6328125" style="2409" customWidth="1"/>
    <col min="15378" max="15379" width="2.6328125" style="2409" customWidth="1"/>
    <col min="15380" max="15381" width="6.6328125" style="2409" customWidth="1"/>
    <col min="15382" max="15383" width="2.6328125" style="2409" customWidth="1"/>
    <col min="15384" max="15385" width="6.6328125" style="2409" customWidth="1"/>
    <col min="15386" max="15616" width="10" style="2409"/>
    <col min="15617" max="15617" width="3.6328125" style="2409" customWidth="1"/>
    <col min="15618" max="15619" width="2.6328125" style="2409" customWidth="1"/>
    <col min="15620" max="15621" width="6.6328125" style="2409" customWidth="1"/>
    <col min="15622" max="15623" width="2.6328125" style="2409" customWidth="1"/>
    <col min="15624" max="15625" width="6.6328125" style="2409" customWidth="1"/>
    <col min="15626" max="15627" width="2.6328125" style="2409" customWidth="1"/>
    <col min="15628" max="15629" width="6.6328125" style="2409" customWidth="1"/>
    <col min="15630" max="15631" width="2.6328125" style="2409" customWidth="1"/>
    <col min="15632" max="15633" width="6.6328125" style="2409" customWidth="1"/>
    <col min="15634" max="15635" width="2.6328125" style="2409" customWidth="1"/>
    <col min="15636" max="15637" width="6.6328125" style="2409" customWidth="1"/>
    <col min="15638" max="15639" width="2.6328125" style="2409" customWidth="1"/>
    <col min="15640" max="15641" width="6.6328125" style="2409" customWidth="1"/>
    <col min="15642" max="15872" width="10" style="2409"/>
    <col min="15873" max="15873" width="3.6328125" style="2409" customWidth="1"/>
    <col min="15874" max="15875" width="2.6328125" style="2409" customWidth="1"/>
    <col min="15876" max="15877" width="6.6328125" style="2409" customWidth="1"/>
    <col min="15878" max="15879" width="2.6328125" style="2409" customWidth="1"/>
    <col min="15880" max="15881" width="6.6328125" style="2409" customWidth="1"/>
    <col min="15882" max="15883" width="2.6328125" style="2409" customWidth="1"/>
    <col min="15884" max="15885" width="6.6328125" style="2409" customWidth="1"/>
    <col min="15886" max="15887" width="2.6328125" style="2409" customWidth="1"/>
    <col min="15888" max="15889" width="6.6328125" style="2409" customWidth="1"/>
    <col min="15890" max="15891" width="2.6328125" style="2409" customWidth="1"/>
    <col min="15892" max="15893" width="6.6328125" style="2409" customWidth="1"/>
    <col min="15894" max="15895" width="2.6328125" style="2409" customWidth="1"/>
    <col min="15896" max="15897" width="6.6328125" style="2409" customWidth="1"/>
    <col min="15898" max="16128" width="10" style="2409"/>
    <col min="16129" max="16129" width="3.6328125" style="2409" customWidth="1"/>
    <col min="16130" max="16131" width="2.6328125" style="2409" customWidth="1"/>
    <col min="16132" max="16133" width="6.6328125" style="2409" customWidth="1"/>
    <col min="16134" max="16135" width="2.6328125" style="2409" customWidth="1"/>
    <col min="16136" max="16137" width="6.6328125" style="2409" customWidth="1"/>
    <col min="16138" max="16139" width="2.6328125" style="2409" customWidth="1"/>
    <col min="16140" max="16141" width="6.6328125" style="2409" customWidth="1"/>
    <col min="16142" max="16143" width="2.6328125" style="2409" customWidth="1"/>
    <col min="16144" max="16145" width="6.6328125" style="2409" customWidth="1"/>
    <col min="16146" max="16147" width="2.6328125" style="2409" customWidth="1"/>
    <col min="16148" max="16149" width="6.6328125" style="2409" customWidth="1"/>
    <col min="16150" max="16151" width="2.6328125" style="2409" customWidth="1"/>
    <col min="16152" max="16153" width="6.6328125" style="2409" customWidth="1"/>
    <col min="16154" max="16384" width="10" style="2409"/>
  </cols>
  <sheetData>
    <row r="1" spans="1:25" ht="18" customHeight="1">
      <c r="A1" s="2408" t="s">
        <v>1353</v>
      </c>
    </row>
    <row r="2" spans="1:25" ht="16" customHeight="1"/>
    <row r="3" spans="1:25" s="2412" customFormat="1" ht="16" customHeight="1">
      <c r="A3" s="2410" t="s">
        <v>197</v>
      </c>
      <c r="B3" s="2411" t="s">
        <v>1354</v>
      </c>
      <c r="C3" s="2411"/>
      <c r="D3" s="2411"/>
      <c r="E3" s="2411"/>
      <c r="F3" s="2411" t="s">
        <v>1355</v>
      </c>
      <c r="G3" s="2411"/>
      <c r="H3" s="2411"/>
      <c r="I3" s="2411"/>
      <c r="J3" s="2411" t="s">
        <v>1356</v>
      </c>
      <c r="K3" s="2411"/>
      <c r="L3" s="2411"/>
      <c r="M3" s="2411"/>
      <c r="N3" s="2411" t="s">
        <v>1357</v>
      </c>
      <c r="O3" s="2411"/>
      <c r="P3" s="2411"/>
      <c r="Q3" s="2411"/>
      <c r="R3" s="2411" t="s">
        <v>1358</v>
      </c>
      <c r="S3" s="2411"/>
      <c r="T3" s="2411"/>
      <c r="U3" s="2411"/>
      <c r="V3" s="2411" t="s">
        <v>101</v>
      </c>
      <c r="W3" s="2411"/>
      <c r="X3" s="2411"/>
      <c r="Y3" s="2411"/>
    </row>
    <row r="4" spans="1:25" s="2412" customFormat="1" ht="16" customHeight="1">
      <c r="A4" s="2413"/>
      <c r="B4" s="2414" t="s">
        <v>1359</v>
      </c>
      <c r="C4" s="2415" t="s">
        <v>1342</v>
      </c>
      <c r="D4" s="2415" t="s">
        <v>1306</v>
      </c>
      <c r="E4" s="2416" t="s">
        <v>1360</v>
      </c>
      <c r="F4" s="2414" t="s">
        <v>1359</v>
      </c>
      <c r="G4" s="2415" t="s">
        <v>1342</v>
      </c>
      <c r="H4" s="2415" t="s">
        <v>1306</v>
      </c>
      <c r="I4" s="2416" t="s">
        <v>1360</v>
      </c>
      <c r="J4" s="2414" t="s">
        <v>1359</v>
      </c>
      <c r="K4" s="2415" t="s">
        <v>1342</v>
      </c>
      <c r="L4" s="2415" t="s">
        <v>1306</v>
      </c>
      <c r="M4" s="2416" t="s">
        <v>1360</v>
      </c>
      <c r="N4" s="2414" t="s">
        <v>1359</v>
      </c>
      <c r="O4" s="2415" t="s">
        <v>1342</v>
      </c>
      <c r="P4" s="2415" t="s">
        <v>1306</v>
      </c>
      <c r="Q4" s="2416" t="s">
        <v>1360</v>
      </c>
      <c r="R4" s="2414" t="s">
        <v>1359</v>
      </c>
      <c r="S4" s="2415" t="s">
        <v>1342</v>
      </c>
      <c r="T4" s="2415" t="s">
        <v>1306</v>
      </c>
      <c r="U4" s="2416" t="s">
        <v>1360</v>
      </c>
      <c r="V4" s="2414" t="s">
        <v>1359</v>
      </c>
      <c r="W4" s="2415" t="s">
        <v>1342</v>
      </c>
      <c r="X4" s="2415" t="s">
        <v>1306</v>
      </c>
      <c r="Y4" s="2416" t="s">
        <v>1360</v>
      </c>
    </row>
    <row r="5" spans="1:25" s="2412" customFormat="1" ht="16" customHeight="1">
      <c r="A5" s="2413"/>
      <c r="B5" s="2417"/>
      <c r="C5" s="2418"/>
      <c r="D5" s="2418"/>
      <c r="E5" s="2419"/>
      <c r="F5" s="2417"/>
      <c r="G5" s="2418"/>
      <c r="H5" s="2418"/>
      <c r="I5" s="2419"/>
      <c r="J5" s="2417"/>
      <c r="K5" s="2418"/>
      <c r="L5" s="2418"/>
      <c r="M5" s="2419"/>
      <c r="N5" s="2417"/>
      <c r="O5" s="2418"/>
      <c r="P5" s="2418"/>
      <c r="Q5" s="2419"/>
      <c r="R5" s="2417"/>
      <c r="S5" s="2418"/>
      <c r="T5" s="2418"/>
      <c r="U5" s="2419"/>
      <c r="V5" s="2417"/>
      <c r="W5" s="2418"/>
      <c r="X5" s="2418"/>
      <c r="Y5" s="2419"/>
    </row>
    <row r="6" spans="1:25" s="2412" customFormat="1" ht="16" customHeight="1">
      <c r="A6" s="2420"/>
      <c r="B6" s="2421"/>
      <c r="C6" s="2422"/>
      <c r="D6" s="2422"/>
      <c r="E6" s="2423"/>
      <c r="F6" s="2421"/>
      <c r="G6" s="2422"/>
      <c r="H6" s="2422"/>
      <c r="I6" s="2423"/>
      <c r="J6" s="2421"/>
      <c r="K6" s="2422"/>
      <c r="L6" s="2422"/>
      <c r="M6" s="2423"/>
      <c r="N6" s="2421"/>
      <c r="O6" s="2422"/>
      <c r="P6" s="2422"/>
      <c r="Q6" s="2423"/>
      <c r="R6" s="2421"/>
      <c r="S6" s="2422"/>
      <c r="T6" s="2422"/>
      <c r="U6" s="2423"/>
      <c r="V6" s="2421"/>
      <c r="W6" s="2422"/>
      <c r="X6" s="2422"/>
      <c r="Y6" s="2423"/>
    </row>
    <row r="7" spans="1:25" ht="16" customHeight="1">
      <c r="A7" s="2424">
        <v>50</v>
      </c>
      <c r="B7" s="2425">
        <v>5</v>
      </c>
      <c r="C7" s="2426">
        <v>4</v>
      </c>
      <c r="D7" s="2427">
        <v>270572</v>
      </c>
      <c r="E7" s="2428">
        <v>39526</v>
      </c>
      <c r="F7" s="2425"/>
      <c r="G7" s="2426"/>
      <c r="H7" s="2426"/>
      <c r="I7" s="2429"/>
      <c r="J7" s="2425"/>
      <c r="K7" s="2426"/>
      <c r="L7" s="2426"/>
      <c r="M7" s="2429"/>
      <c r="N7" s="2425">
        <v>11</v>
      </c>
      <c r="O7" s="2426">
        <v>11</v>
      </c>
      <c r="P7" s="2426">
        <v>408162</v>
      </c>
      <c r="Q7" s="2429">
        <v>54450</v>
      </c>
      <c r="R7" s="2425">
        <v>4</v>
      </c>
      <c r="S7" s="2426">
        <v>5</v>
      </c>
      <c r="T7" s="2426">
        <v>916</v>
      </c>
      <c r="U7" s="2429">
        <v>450</v>
      </c>
      <c r="V7" s="2425">
        <f t="shared" ref="V7:Y44" si="0">B7+F7+J7+N7+R7</f>
        <v>20</v>
      </c>
      <c r="W7" s="2426">
        <f t="shared" si="0"/>
        <v>20</v>
      </c>
      <c r="X7" s="2427">
        <f t="shared" si="0"/>
        <v>679650</v>
      </c>
      <c r="Y7" s="2428">
        <f t="shared" si="0"/>
        <v>94426</v>
      </c>
    </row>
    <row r="8" spans="1:25" ht="16" customHeight="1">
      <c r="A8" s="2430">
        <v>51</v>
      </c>
      <c r="B8" s="2431">
        <v>5</v>
      </c>
      <c r="C8" s="2432">
        <v>4</v>
      </c>
      <c r="D8" s="2433">
        <v>581889</v>
      </c>
      <c r="E8" s="2434">
        <v>68173</v>
      </c>
      <c r="F8" s="2431"/>
      <c r="G8" s="2432"/>
      <c r="H8" s="2432"/>
      <c r="I8" s="2435"/>
      <c r="J8" s="2431"/>
      <c r="K8" s="2432"/>
      <c r="L8" s="2432"/>
      <c r="M8" s="2435"/>
      <c r="N8" s="2431">
        <v>9</v>
      </c>
      <c r="O8" s="2432">
        <v>10</v>
      </c>
      <c r="P8" s="2432">
        <v>158755</v>
      </c>
      <c r="Q8" s="2435">
        <v>27770</v>
      </c>
      <c r="R8" s="2431"/>
      <c r="S8" s="2432"/>
      <c r="T8" s="2432"/>
      <c r="U8" s="2435"/>
      <c r="V8" s="2431">
        <f t="shared" si="0"/>
        <v>14</v>
      </c>
      <c r="W8" s="2432">
        <f t="shared" si="0"/>
        <v>14</v>
      </c>
      <c r="X8" s="2433">
        <f t="shared" si="0"/>
        <v>740644</v>
      </c>
      <c r="Y8" s="2434">
        <f t="shared" si="0"/>
        <v>95943</v>
      </c>
    </row>
    <row r="9" spans="1:25" ht="16" customHeight="1">
      <c r="A9" s="2430">
        <v>52</v>
      </c>
      <c r="B9" s="2431">
        <v>5</v>
      </c>
      <c r="C9" s="2432">
        <v>4</v>
      </c>
      <c r="D9" s="2433">
        <v>896045</v>
      </c>
      <c r="E9" s="2434">
        <v>98546</v>
      </c>
      <c r="F9" s="2431"/>
      <c r="G9" s="2432"/>
      <c r="H9" s="2432"/>
      <c r="I9" s="2435"/>
      <c r="J9" s="2431"/>
      <c r="K9" s="2432"/>
      <c r="L9" s="2432"/>
      <c r="M9" s="2435"/>
      <c r="N9" s="2431">
        <v>6</v>
      </c>
      <c r="O9" s="2432">
        <v>7</v>
      </c>
      <c r="P9" s="2432">
        <v>131471</v>
      </c>
      <c r="Q9" s="2435">
        <v>25592</v>
      </c>
      <c r="R9" s="2431">
        <v>1</v>
      </c>
      <c r="S9" s="2432">
        <v>1</v>
      </c>
      <c r="T9" s="2432">
        <v>3500</v>
      </c>
      <c r="U9" s="2435">
        <v>904</v>
      </c>
      <c r="V9" s="2431">
        <f t="shared" si="0"/>
        <v>12</v>
      </c>
      <c r="W9" s="2432">
        <f t="shared" si="0"/>
        <v>12</v>
      </c>
      <c r="X9" s="2433">
        <f t="shared" si="0"/>
        <v>1031016</v>
      </c>
      <c r="Y9" s="2434">
        <f t="shared" si="0"/>
        <v>125042</v>
      </c>
    </row>
    <row r="10" spans="1:25" ht="16" customHeight="1">
      <c r="A10" s="2436">
        <v>53</v>
      </c>
      <c r="B10" s="2437">
        <v>5</v>
      </c>
      <c r="C10" s="2438">
        <v>4</v>
      </c>
      <c r="D10" s="2439">
        <v>1140642</v>
      </c>
      <c r="E10" s="2440">
        <v>123174</v>
      </c>
      <c r="F10" s="2437"/>
      <c r="G10" s="2438"/>
      <c r="H10" s="2438"/>
      <c r="I10" s="2441"/>
      <c r="J10" s="2437"/>
      <c r="K10" s="2438"/>
      <c r="L10" s="2438"/>
      <c r="M10" s="2441"/>
      <c r="N10" s="2437">
        <v>10</v>
      </c>
      <c r="O10" s="2438">
        <v>13</v>
      </c>
      <c r="P10" s="2438">
        <v>251147</v>
      </c>
      <c r="Q10" s="2441">
        <v>55770</v>
      </c>
      <c r="R10" s="2437"/>
      <c r="S10" s="2438"/>
      <c r="T10" s="2438"/>
      <c r="U10" s="2441"/>
      <c r="V10" s="2437">
        <f t="shared" si="0"/>
        <v>15</v>
      </c>
      <c r="W10" s="2438">
        <f t="shared" si="0"/>
        <v>17</v>
      </c>
      <c r="X10" s="2439">
        <f t="shared" si="0"/>
        <v>1391789</v>
      </c>
      <c r="Y10" s="2440">
        <f t="shared" si="0"/>
        <v>178944</v>
      </c>
    </row>
    <row r="11" spans="1:25" ht="16" customHeight="1">
      <c r="A11" s="2424">
        <v>54</v>
      </c>
      <c r="B11" s="2425">
        <v>5</v>
      </c>
      <c r="C11" s="2426">
        <v>4</v>
      </c>
      <c r="D11" s="2427">
        <v>1169288</v>
      </c>
      <c r="E11" s="2428">
        <v>114344</v>
      </c>
      <c r="F11" s="2425"/>
      <c r="G11" s="2426"/>
      <c r="H11" s="2426"/>
      <c r="I11" s="2429"/>
      <c r="J11" s="2425"/>
      <c r="K11" s="2426"/>
      <c r="L11" s="2426"/>
      <c r="M11" s="2429"/>
      <c r="N11" s="2425">
        <v>11</v>
      </c>
      <c r="O11" s="2426">
        <v>11</v>
      </c>
      <c r="P11" s="2426">
        <v>247162</v>
      </c>
      <c r="Q11" s="2429">
        <v>56080</v>
      </c>
      <c r="R11" s="2425"/>
      <c r="S11" s="2426"/>
      <c r="T11" s="2426"/>
      <c r="U11" s="2429"/>
      <c r="V11" s="2425">
        <f t="shared" si="0"/>
        <v>16</v>
      </c>
      <c r="W11" s="2426">
        <f t="shared" si="0"/>
        <v>15</v>
      </c>
      <c r="X11" s="2427">
        <f t="shared" si="0"/>
        <v>1416450</v>
      </c>
      <c r="Y11" s="2428">
        <f t="shared" si="0"/>
        <v>170424</v>
      </c>
    </row>
    <row r="12" spans="1:25" ht="16" customHeight="1">
      <c r="A12" s="2424">
        <v>55</v>
      </c>
      <c r="B12" s="2425">
        <v>5</v>
      </c>
      <c r="C12" s="2426">
        <v>4</v>
      </c>
      <c r="D12" s="2427">
        <v>1362833</v>
      </c>
      <c r="E12" s="2428">
        <v>126579</v>
      </c>
      <c r="F12" s="2425"/>
      <c r="G12" s="2426"/>
      <c r="H12" s="2426"/>
      <c r="I12" s="2429"/>
      <c r="J12" s="2425"/>
      <c r="K12" s="2426"/>
      <c r="L12" s="2426"/>
      <c r="M12" s="2429"/>
      <c r="N12" s="2425">
        <v>7</v>
      </c>
      <c r="O12" s="2426">
        <v>10</v>
      </c>
      <c r="P12" s="2426">
        <v>207086</v>
      </c>
      <c r="Q12" s="2429">
        <v>59000</v>
      </c>
      <c r="R12" s="2425"/>
      <c r="S12" s="2426"/>
      <c r="T12" s="2426"/>
      <c r="U12" s="2429"/>
      <c r="V12" s="2425">
        <f t="shared" si="0"/>
        <v>12</v>
      </c>
      <c r="W12" s="2426">
        <f t="shared" si="0"/>
        <v>14</v>
      </c>
      <c r="X12" s="2427">
        <f t="shared" si="0"/>
        <v>1569919</v>
      </c>
      <c r="Y12" s="2428">
        <f t="shared" si="0"/>
        <v>185579</v>
      </c>
    </row>
    <row r="13" spans="1:25" ht="16" customHeight="1">
      <c r="A13" s="2430">
        <v>56</v>
      </c>
      <c r="B13" s="2431">
        <v>6</v>
      </c>
      <c r="C13" s="2432">
        <v>5</v>
      </c>
      <c r="D13" s="2433">
        <v>1866534</v>
      </c>
      <c r="E13" s="2434">
        <v>179312</v>
      </c>
      <c r="F13" s="2431"/>
      <c r="G13" s="2432"/>
      <c r="H13" s="2432"/>
      <c r="I13" s="2435"/>
      <c r="J13" s="2431"/>
      <c r="K13" s="2432"/>
      <c r="L13" s="2432"/>
      <c r="M13" s="2435"/>
      <c r="N13" s="2431">
        <v>8</v>
      </c>
      <c r="O13" s="2432">
        <v>11</v>
      </c>
      <c r="P13" s="2432">
        <v>142093</v>
      </c>
      <c r="Q13" s="2435">
        <v>54815</v>
      </c>
      <c r="R13" s="2431">
        <v>4</v>
      </c>
      <c r="S13" s="2432">
        <v>4</v>
      </c>
      <c r="T13" s="2432">
        <v>9344</v>
      </c>
      <c r="U13" s="2435">
        <v>4125</v>
      </c>
      <c r="V13" s="2431">
        <f t="shared" si="0"/>
        <v>18</v>
      </c>
      <c r="W13" s="2432">
        <f t="shared" si="0"/>
        <v>20</v>
      </c>
      <c r="X13" s="2433">
        <f t="shared" si="0"/>
        <v>2017971</v>
      </c>
      <c r="Y13" s="2434">
        <f t="shared" si="0"/>
        <v>238252</v>
      </c>
    </row>
    <row r="14" spans="1:25" ht="16" customHeight="1">
      <c r="A14" s="2430">
        <v>57</v>
      </c>
      <c r="B14" s="2431">
        <v>7</v>
      </c>
      <c r="C14" s="2432">
        <v>6</v>
      </c>
      <c r="D14" s="2433">
        <v>988872</v>
      </c>
      <c r="E14" s="2434">
        <v>89209</v>
      </c>
      <c r="F14" s="2431"/>
      <c r="G14" s="2432"/>
      <c r="H14" s="2432"/>
      <c r="I14" s="2435"/>
      <c r="J14" s="2431"/>
      <c r="K14" s="2432"/>
      <c r="L14" s="2432"/>
      <c r="M14" s="2435"/>
      <c r="N14" s="2431">
        <v>11</v>
      </c>
      <c r="O14" s="2432">
        <v>12</v>
      </c>
      <c r="P14" s="2432">
        <v>363831</v>
      </c>
      <c r="Q14" s="2435">
        <v>79910</v>
      </c>
      <c r="R14" s="2431">
        <v>10</v>
      </c>
      <c r="S14" s="2432">
        <v>12</v>
      </c>
      <c r="T14" s="2432">
        <v>40980</v>
      </c>
      <c r="U14" s="2435">
        <v>17980</v>
      </c>
      <c r="V14" s="2431">
        <f t="shared" si="0"/>
        <v>28</v>
      </c>
      <c r="W14" s="2432">
        <f t="shared" si="0"/>
        <v>30</v>
      </c>
      <c r="X14" s="2433">
        <f t="shared" si="0"/>
        <v>1393683</v>
      </c>
      <c r="Y14" s="2434">
        <f t="shared" si="0"/>
        <v>187099</v>
      </c>
    </row>
    <row r="15" spans="1:25" ht="16" customHeight="1">
      <c r="A15" s="2436">
        <v>58</v>
      </c>
      <c r="B15" s="2437">
        <v>6</v>
      </c>
      <c r="C15" s="2438">
        <v>5</v>
      </c>
      <c r="D15" s="2439">
        <v>906634</v>
      </c>
      <c r="E15" s="2440">
        <v>104073</v>
      </c>
      <c r="F15" s="2437"/>
      <c r="G15" s="2438"/>
      <c r="H15" s="2438"/>
      <c r="I15" s="2441"/>
      <c r="J15" s="2437"/>
      <c r="K15" s="2438"/>
      <c r="L15" s="2438"/>
      <c r="M15" s="2441"/>
      <c r="N15" s="2437">
        <v>13</v>
      </c>
      <c r="O15" s="2438">
        <v>13</v>
      </c>
      <c r="P15" s="2438">
        <v>527098</v>
      </c>
      <c r="Q15" s="2441">
        <v>48477</v>
      </c>
      <c r="R15" s="2437">
        <v>5</v>
      </c>
      <c r="S15" s="2438">
        <v>7</v>
      </c>
      <c r="T15" s="2438">
        <v>11163</v>
      </c>
      <c r="U15" s="2441">
        <v>4710</v>
      </c>
      <c r="V15" s="2437">
        <f t="shared" si="0"/>
        <v>24</v>
      </c>
      <c r="W15" s="2438">
        <f t="shared" si="0"/>
        <v>25</v>
      </c>
      <c r="X15" s="2439">
        <f t="shared" si="0"/>
        <v>1444895</v>
      </c>
      <c r="Y15" s="2440">
        <f t="shared" si="0"/>
        <v>157260</v>
      </c>
    </row>
    <row r="16" spans="1:25" ht="16" customHeight="1">
      <c r="A16" s="2424">
        <v>59</v>
      </c>
      <c r="B16" s="2425">
        <v>6</v>
      </c>
      <c r="C16" s="2426">
        <v>5</v>
      </c>
      <c r="D16" s="2427">
        <v>973100</v>
      </c>
      <c r="E16" s="2428">
        <v>95469</v>
      </c>
      <c r="F16" s="2425"/>
      <c r="G16" s="2426"/>
      <c r="H16" s="2426"/>
      <c r="I16" s="2429"/>
      <c r="J16" s="2425"/>
      <c r="K16" s="2426"/>
      <c r="L16" s="2426"/>
      <c r="M16" s="2429"/>
      <c r="N16" s="2425">
        <v>7</v>
      </c>
      <c r="O16" s="2426">
        <v>7</v>
      </c>
      <c r="P16" s="2426">
        <v>126199</v>
      </c>
      <c r="Q16" s="2429">
        <v>54890</v>
      </c>
      <c r="R16" s="2425">
        <v>2</v>
      </c>
      <c r="S16" s="2426">
        <v>2</v>
      </c>
      <c r="T16" s="2426">
        <v>30639</v>
      </c>
      <c r="U16" s="2429">
        <v>12500</v>
      </c>
      <c r="V16" s="2425">
        <f t="shared" si="0"/>
        <v>15</v>
      </c>
      <c r="W16" s="2426">
        <f t="shared" si="0"/>
        <v>14</v>
      </c>
      <c r="X16" s="2427">
        <f t="shared" si="0"/>
        <v>1129938</v>
      </c>
      <c r="Y16" s="2428">
        <f t="shared" si="0"/>
        <v>162859</v>
      </c>
    </row>
    <row r="17" spans="1:25" ht="16" customHeight="1">
      <c r="A17" s="2424">
        <v>60</v>
      </c>
      <c r="B17" s="2425">
        <v>6</v>
      </c>
      <c r="C17" s="2426">
        <v>5</v>
      </c>
      <c r="D17" s="2427">
        <v>525645</v>
      </c>
      <c r="E17" s="2428">
        <v>94615</v>
      </c>
      <c r="F17" s="2425"/>
      <c r="G17" s="2426"/>
      <c r="H17" s="2426"/>
      <c r="I17" s="2429"/>
      <c r="J17" s="2425">
        <v>1</v>
      </c>
      <c r="K17" s="2426">
        <v>1</v>
      </c>
      <c r="L17" s="2426">
        <v>55200</v>
      </c>
      <c r="M17" s="2429">
        <v>5900</v>
      </c>
      <c r="N17" s="2425">
        <v>6</v>
      </c>
      <c r="O17" s="2426">
        <v>6</v>
      </c>
      <c r="P17" s="2426">
        <v>236113</v>
      </c>
      <c r="Q17" s="2429">
        <v>55000</v>
      </c>
      <c r="R17" s="2425">
        <v>2</v>
      </c>
      <c r="S17" s="2426">
        <v>2</v>
      </c>
      <c r="T17" s="2426">
        <v>33523</v>
      </c>
      <c r="U17" s="2429">
        <v>10280</v>
      </c>
      <c r="V17" s="2425">
        <f t="shared" si="0"/>
        <v>15</v>
      </c>
      <c r="W17" s="2426">
        <f t="shared" si="0"/>
        <v>14</v>
      </c>
      <c r="X17" s="2427">
        <f t="shared" si="0"/>
        <v>850481</v>
      </c>
      <c r="Y17" s="2428">
        <f t="shared" si="0"/>
        <v>165795</v>
      </c>
    </row>
    <row r="18" spans="1:25" ht="16" customHeight="1">
      <c r="A18" s="2430">
        <v>61</v>
      </c>
      <c r="B18" s="2431">
        <v>3</v>
      </c>
      <c r="C18" s="2432">
        <v>3</v>
      </c>
      <c r="D18" s="2433">
        <v>357945</v>
      </c>
      <c r="E18" s="2434">
        <v>64430</v>
      </c>
      <c r="F18" s="2431"/>
      <c r="G18" s="2432"/>
      <c r="H18" s="2432"/>
      <c r="I18" s="2435"/>
      <c r="J18" s="2431"/>
      <c r="K18" s="2432"/>
      <c r="L18" s="2432"/>
      <c r="M18" s="2435"/>
      <c r="N18" s="2431">
        <v>9</v>
      </c>
      <c r="O18" s="2432">
        <v>10</v>
      </c>
      <c r="P18" s="2432">
        <v>281227</v>
      </c>
      <c r="Q18" s="2435">
        <v>55000</v>
      </c>
      <c r="R18" s="2431"/>
      <c r="S18" s="2432"/>
      <c r="T18" s="2432"/>
      <c r="U18" s="2435"/>
      <c r="V18" s="2431">
        <f t="shared" si="0"/>
        <v>12</v>
      </c>
      <c r="W18" s="2432">
        <f t="shared" si="0"/>
        <v>13</v>
      </c>
      <c r="X18" s="2433">
        <f t="shared" si="0"/>
        <v>639172</v>
      </c>
      <c r="Y18" s="2434">
        <f t="shared" si="0"/>
        <v>119430</v>
      </c>
    </row>
    <row r="19" spans="1:25" ht="16" customHeight="1">
      <c r="A19" s="2430">
        <v>62</v>
      </c>
      <c r="B19" s="2431">
        <v>3</v>
      </c>
      <c r="C19" s="2432">
        <v>3</v>
      </c>
      <c r="D19" s="2433">
        <v>1529395</v>
      </c>
      <c r="E19" s="2434">
        <v>137644</v>
      </c>
      <c r="F19" s="2431"/>
      <c r="G19" s="2432"/>
      <c r="H19" s="2432"/>
      <c r="I19" s="2435"/>
      <c r="J19" s="2431"/>
      <c r="K19" s="2432"/>
      <c r="L19" s="2432"/>
      <c r="M19" s="2435"/>
      <c r="N19" s="2431">
        <v>4</v>
      </c>
      <c r="O19" s="2432">
        <v>6</v>
      </c>
      <c r="P19" s="2432">
        <v>233693</v>
      </c>
      <c r="Q19" s="2435">
        <v>49500</v>
      </c>
      <c r="R19" s="2431"/>
      <c r="S19" s="2432"/>
      <c r="T19" s="2432"/>
      <c r="U19" s="2435"/>
      <c r="V19" s="2431">
        <f t="shared" si="0"/>
        <v>7</v>
      </c>
      <c r="W19" s="2432">
        <f t="shared" si="0"/>
        <v>9</v>
      </c>
      <c r="X19" s="2433">
        <f t="shared" si="0"/>
        <v>1763088</v>
      </c>
      <c r="Y19" s="2434">
        <f t="shared" si="0"/>
        <v>187144</v>
      </c>
    </row>
    <row r="20" spans="1:25" ht="16" customHeight="1">
      <c r="A20" s="2436">
        <v>63</v>
      </c>
      <c r="B20" s="2437">
        <v>3</v>
      </c>
      <c r="C20" s="2438">
        <v>3</v>
      </c>
      <c r="D20" s="2439">
        <v>2328364</v>
      </c>
      <c r="E20" s="2440">
        <v>209552</v>
      </c>
      <c r="F20" s="2437"/>
      <c r="G20" s="2438"/>
      <c r="H20" s="2438"/>
      <c r="I20" s="2441"/>
      <c r="J20" s="2437"/>
      <c r="K20" s="2438"/>
      <c r="L20" s="2438"/>
      <c r="M20" s="2441"/>
      <c r="N20" s="2437">
        <v>10</v>
      </c>
      <c r="O20" s="2438">
        <v>10</v>
      </c>
      <c r="P20" s="2438">
        <v>243712</v>
      </c>
      <c r="Q20" s="2441">
        <v>49500</v>
      </c>
      <c r="R20" s="2437"/>
      <c r="S20" s="2438"/>
      <c r="T20" s="2438"/>
      <c r="U20" s="2441"/>
      <c r="V20" s="2437">
        <f t="shared" si="0"/>
        <v>13</v>
      </c>
      <c r="W20" s="2438">
        <f t="shared" si="0"/>
        <v>13</v>
      </c>
      <c r="X20" s="2439">
        <f t="shared" si="0"/>
        <v>2572076</v>
      </c>
      <c r="Y20" s="2440">
        <f t="shared" si="0"/>
        <v>259052</v>
      </c>
    </row>
    <row r="21" spans="1:25" ht="16" customHeight="1">
      <c r="A21" s="2424" t="s">
        <v>1361</v>
      </c>
      <c r="B21" s="2425">
        <v>3</v>
      </c>
      <c r="C21" s="2426">
        <v>3</v>
      </c>
      <c r="D21" s="2427">
        <v>2274988</v>
      </c>
      <c r="E21" s="2428">
        <v>204748</v>
      </c>
      <c r="F21" s="2425"/>
      <c r="G21" s="2426"/>
      <c r="H21" s="2426"/>
      <c r="I21" s="2429"/>
      <c r="J21" s="2425"/>
      <c r="K21" s="2426"/>
      <c r="L21" s="2426"/>
      <c r="M21" s="2429"/>
      <c r="N21" s="2425">
        <v>4</v>
      </c>
      <c r="O21" s="2426">
        <v>4</v>
      </c>
      <c r="P21" s="2426">
        <v>139900</v>
      </c>
      <c r="Q21" s="2429">
        <v>49500</v>
      </c>
      <c r="R21" s="2425"/>
      <c r="S21" s="2426"/>
      <c r="T21" s="2426"/>
      <c r="U21" s="2429"/>
      <c r="V21" s="2425">
        <f t="shared" si="0"/>
        <v>7</v>
      </c>
      <c r="W21" s="2426">
        <f t="shared" si="0"/>
        <v>7</v>
      </c>
      <c r="X21" s="2427">
        <f t="shared" si="0"/>
        <v>2414888</v>
      </c>
      <c r="Y21" s="2428">
        <f t="shared" si="0"/>
        <v>254248</v>
      </c>
    </row>
    <row r="22" spans="1:25" ht="16" customHeight="1">
      <c r="A22" s="2424">
        <v>2</v>
      </c>
      <c r="B22" s="2425">
        <v>3</v>
      </c>
      <c r="C22" s="2426">
        <v>3</v>
      </c>
      <c r="D22" s="2427">
        <v>1615671</v>
      </c>
      <c r="E22" s="2428">
        <v>145409</v>
      </c>
      <c r="F22" s="2425"/>
      <c r="G22" s="2426"/>
      <c r="H22" s="2426"/>
      <c r="I22" s="2429"/>
      <c r="J22" s="2425"/>
      <c r="K22" s="2426"/>
      <c r="L22" s="2426"/>
      <c r="M22" s="2429"/>
      <c r="N22" s="2425">
        <v>4</v>
      </c>
      <c r="O22" s="2426">
        <v>4</v>
      </c>
      <c r="P22" s="2426">
        <v>181728</v>
      </c>
      <c r="Q22" s="2429">
        <v>49362</v>
      </c>
      <c r="R22" s="2425"/>
      <c r="S22" s="2426"/>
      <c r="T22" s="2426"/>
      <c r="U22" s="2429"/>
      <c r="V22" s="2425">
        <f t="shared" si="0"/>
        <v>7</v>
      </c>
      <c r="W22" s="2426">
        <f t="shared" si="0"/>
        <v>7</v>
      </c>
      <c r="X22" s="2427">
        <f t="shared" si="0"/>
        <v>1797399</v>
      </c>
      <c r="Y22" s="2428">
        <f t="shared" si="0"/>
        <v>194771</v>
      </c>
    </row>
    <row r="23" spans="1:25" ht="16" customHeight="1">
      <c r="A23" s="2430">
        <v>3</v>
      </c>
      <c r="B23" s="2431">
        <v>2</v>
      </c>
      <c r="C23" s="2432">
        <v>2</v>
      </c>
      <c r="D23" s="2433">
        <v>1223586</v>
      </c>
      <c r="E23" s="2434">
        <v>121210</v>
      </c>
      <c r="F23" s="2431"/>
      <c r="G23" s="2432"/>
      <c r="H23" s="2432"/>
      <c r="I23" s="2435"/>
      <c r="J23" s="2431">
        <v>1</v>
      </c>
      <c r="K23" s="2432">
        <v>1</v>
      </c>
      <c r="L23" s="2432">
        <v>45000</v>
      </c>
      <c r="M23" s="2435">
        <v>5625</v>
      </c>
      <c r="N23" s="2431">
        <v>6</v>
      </c>
      <c r="O23" s="2432">
        <v>6</v>
      </c>
      <c r="P23" s="2432">
        <v>252616</v>
      </c>
      <c r="Q23" s="2435">
        <v>49500</v>
      </c>
      <c r="R23" s="2431">
        <v>2</v>
      </c>
      <c r="S23" s="2432">
        <v>2</v>
      </c>
      <c r="T23" s="2432">
        <v>3312</v>
      </c>
      <c r="U23" s="2435">
        <v>1485</v>
      </c>
      <c r="V23" s="2431">
        <f t="shared" si="0"/>
        <v>11</v>
      </c>
      <c r="W23" s="2432">
        <f t="shared" si="0"/>
        <v>11</v>
      </c>
      <c r="X23" s="2433">
        <f t="shared" si="0"/>
        <v>1524514</v>
      </c>
      <c r="Y23" s="2434">
        <f t="shared" si="0"/>
        <v>177820</v>
      </c>
    </row>
    <row r="24" spans="1:25" ht="16" customHeight="1">
      <c r="A24" s="2430">
        <v>4</v>
      </c>
      <c r="B24" s="2431">
        <v>3</v>
      </c>
      <c r="C24" s="2432">
        <v>3</v>
      </c>
      <c r="D24" s="2433">
        <v>506302</v>
      </c>
      <c r="E24" s="2434">
        <v>38001</v>
      </c>
      <c r="F24" s="2431"/>
      <c r="G24" s="2432"/>
      <c r="H24" s="2432"/>
      <c r="I24" s="2435"/>
      <c r="J24" s="2431">
        <v>1</v>
      </c>
      <c r="K24" s="2432">
        <v>1</v>
      </c>
      <c r="L24" s="2432">
        <v>25000</v>
      </c>
      <c r="M24" s="2435">
        <v>3125</v>
      </c>
      <c r="N24" s="2431">
        <v>7</v>
      </c>
      <c r="O24" s="2432">
        <v>7</v>
      </c>
      <c r="P24" s="2432">
        <v>239246</v>
      </c>
      <c r="Q24" s="2435">
        <v>49500</v>
      </c>
      <c r="R24" s="2431"/>
      <c r="S24" s="2432"/>
      <c r="T24" s="2432"/>
      <c r="U24" s="2435"/>
      <c r="V24" s="2431">
        <f t="shared" si="0"/>
        <v>11</v>
      </c>
      <c r="W24" s="2432">
        <f t="shared" si="0"/>
        <v>11</v>
      </c>
      <c r="X24" s="2433">
        <f t="shared" si="0"/>
        <v>770548</v>
      </c>
      <c r="Y24" s="2434">
        <f t="shared" si="0"/>
        <v>90626</v>
      </c>
    </row>
    <row r="25" spans="1:25" ht="16" customHeight="1">
      <c r="A25" s="2436">
        <v>5</v>
      </c>
      <c r="B25" s="2437">
        <v>3</v>
      </c>
      <c r="C25" s="2438">
        <v>3</v>
      </c>
      <c r="D25" s="2439">
        <v>382600</v>
      </c>
      <c r="E25" s="2440">
        <v>23280</v>
      </c>
      <c r="F25" s="2437"/>
      <c r="G25" s="2438"/>
      <c r="H25" s="2438"/>
      <c r="I25" s="2441"/>
      <c r="J25" s="2437">
        <v>2</v>
      </c>
      <c r="K25" s="2438">
        <v>2</v>
      </c>
      <c r="L25" s="2438">
        <v>134190</v>
      </c>
      <c r="M25" s="2441">
        <v>15812</v>
      </c>
      <c r="N25" s="2437">
        <v>8</v>
      </c>
      <c r="O25" s="2438">
        <v>8</v>
      </c>
      <c r="P25" s="2438">
        <v>314764</v>
      </c>
      <c r="Q25" s="2441">
        <v>49510</v>
      </c>
      <c r="R25" s="2437"/>
      <c r="S25" s="2438"/>
      <c r="T25" s="2438"/>
      <c r="U25" s="2441"/>
      <c r="V25" s="2437">
        <f t="shared" si="0"/>
        <v>13</v>
      </c>
      <c r="W25" s="2438">
        <f t="shared" si="0"/>
        <v>13</v>
      </c>
      <c r="X25" s="2439">
        <f t="shared" si="0"/>
        <v>831554</v>
      </c>
      <c r="Y25" s="2440">
        <f t="shared" si="0"/>
        <v>88602</v>
      </c>
    </row>
    <row r="26" spans="1:25" ht="16" customHeight="1">
      <c r="A26" s="2424">
        <v>6</v>
      </c>
      <c r="B26" s="2425">
        <v>3</v>
      </c>
      <c r="C26" s="2426">
        <v>3</v>
      </c>
      <c r="D26" s="2427">
        <v>202794</v>
      </c>
      <c r="E26" s="2428">
        <v>13266</v>
      </c>
      <c r="F26" s="2425"/>
      <c r="G26" s="2426"/>
      <c r="H26" s="2426"/>
      <c r="I26" s="2429"/>
      <c r="J26" s="2425">
        <v>1</v>
      </c>
      <c r="K26" s="2426">
        <v>1</v>
      </c>
      <c r="L26" s="2426">
        <v>24668</v>
      </c>
      <c r="M26" s="2429">
        <v>3083</v>
      </c>
      <c r="N26" s="2425">
        <v>5</v>
      </c>
      <c r="O26" s="2426">
        <v>6</v>
      </c>
      <c r="P26" s="2426">
        <v>423512</v>
      </c>
      <c r="Q26" s="2429">
        <v>46969</v>
      </c>
      <c r="R26" s="2425">
        <v>1</v>
      </c>
      <c r="S26" s="2426">
        <v>1</v>
      </c>
      <c r="T26" s="2426">
        <v>6901</v>
      </c>
      <c r="U26" s="2429">
        <v>1948</v>
      </c>
      <c r="V26" s="2425">
        <f t="shared" si="0"/>
        <v>10</v>
      </c>
      <c r="W26" s="2426">
        <f t="shared" si="0"/>
        <v>11</v>
      </c>
      <c r="X26" s="2427">
        <f t="shared" si="0"/>
        <v>657875</v>
      </c>
      <c r="Y26" s="2428">
        <f t="shared" si="0"/>
        <v>65266</v>
      </c>
    </row>
    <row r="27" spans="1:25" ht="16" customHeight="1">
      <c r="A27" s="2424">
        <v>7</v>
      </c>
      <c r="B27" s="2425">
        <v>4</v>
      </c>
      <c r="C27" s="2426">
        <v>4</v>
      </c>
      <c r="D27" s="2427">
        <v>1550000</v>
      </c>
      <c r="E27" s="2428">
        <v>2168</v>
      </c>
      <c r="F27" s="2425"/>
      <c r="G27" s="2426"/>
      <c r="H27" s="2426"/>
      <c r="I27" s="2429"/>
      <c r="J27" s="2425"/>
      <c r="K27" s="2426"/>
      <c r="L27" s="2426"/>
      <c r="M27" s="2429"/>
      <c r="N27" s="2425">
        <v>5</v>
      </c>
      <c r="O27" s="2426">
        <v>5</v>
      </c>
      <c r="P27" s="2426">
        <v>261960</v>
      </c>
      <c r="Q27" s="2429">
        <v>35000</v>
      </c>
      <c r="R27" s="2425">
        <v>2</v>
      </c>
      <c r="S27" s="2426">
        <v>4</v>
      </c>
      <c r="T27" s="2426">
        <v>54100</v>
      </c>
      <c r="U27" s="2429">
        <v>7162</v>
      </c>
      <c r="V27" s="2425">
        <f t="shared" si="0"/>
        <v>11</v>
      </c>
      <c r="W27" s="2426">
        <f t="shared" si="0"/>
        <v>13</v>
      </c>
      <c r="X27" s="2427">
        <f t="shared" si="0"/>
        <v>1866060</v>
      </c>
      <c r="Y27" s="2428">
        <f t="shared" si="0"/>
        <v>44330</v>
      </c>
    </row>
    <row r="28" spans="1:25" ht="16" customHeight="1">
      <c r="A28" s="2430">
        <v>8</v>
      </c>
      <c r="B28" s="2431">
        <v>4</v>
      </c>
      <c r="C28" s="2432">
        <v>4</v>
      </c>
      <c r="D28" s="2433">
        <v>2081000</v>
      </c>
      <c r="E28" s="2434">
        <v>5835</v>
      </c>
      <c r="F28" s="2431"/>
      <c r="G28" s="2432"/>
      <c r="H28" s="2432"/>
      <c r="I28" s="2435"/>
      <c r="J28" s="2431"/>
      <c r="K28" s="2432"/>
      <c r="L28" s="2432"/>
      <c r="M28" s="2435"/>
      <c r="N28" s="2431">
        <v>8</v>
      </c>
      <c r="O28" s="2432">
        <v>8</v>
      </c>
      <c r="P28" s="2432">
        <v>385325</v>
      </c>
      <c r="Q28" s="2435">
        <v>36124</v>
      </c>
      <c r="R28" s="2431">
        <v>1</v>
      </c>
      <c r="S28" s="2432">
        <v>1</v>
      </c>
      <c r="T28" s="2432">
        <v>5551</v>
      </c>
      <c r="U28" s="2435">
        <v>1876</v>
      </c>
      <c r="V28" s="2431">
        <f t="shared" si="0"/>
        <v>13</v>
      </c>
      <c r="W28" s="2432">
        <f t="shared" si="0"/>
        <v>13</v>
      </c>
      <c r="X28" s="2433">
        <f t="shared" si="0"/>
        <v>2471876</v>
      </c>
      <c r="Y28" s="2434">
        <f t="shared" si="0"/>
        <v>43835</v>
      </c>
    </row>
    <row r="29" spans="1:25" ht="16" customHeight="1">
      <c r="A29" s="2430">
        <v>9</v>
      </c>
      <c r="B29" s="2431">
        <v>4</v>
      </c>
      <c r="C29" s="2432">
        <v>4</v>
      </c>
      <c r="D29" s="2433">
        <v>1917000</v>
      </c>
      <c r="E29" s="2434">
        <v>1820</v>
      </c>
      <c r="F29" s="2431"/>
      <c r="G29" s="2432"/>
      <c r="H29" s="2432"/>
      <c r="I29" s="2435"/>
      <c r="J29" s="2431"/>
      <c r="K29" s="2432"/>
      <c r="L29" s="2432"/>
      <c r="M29" s="2435"/>
      <c r="N29" s="2431">
        <v>4</v>
      </c>
      <c r="O29" s="2432">
        <v>4</v>
      </c>
      <c r="P29" s="2432">
        <v>341606</v>
      </c>
      <c r="Q29" s="2435">
        <v>38000</v>
      </c>
      <c r="R29" s="2431"/>
      <c r="S29" s="2432"/>
      <c r="T29" s="2432"/>
      <c r="U29" s="2435"/>
      <c r="V29" s="2431">
        <f t="shared" si="0"/>
        <v>8</v>
      </c>
      <c r="W29" s="2432">
        <f t="shared" si="0"/>
        <v>8</v>
      </c>
      <c r="X29" s="2433">
        <f t="shared" si="0"/>
        <v>2258606</v>
      </c>
      <c r="Y29" s="2434">
        <f t="shared" si="0"/>
        <v>39820</v>
      </c>
    </row>
    <row r="30" spans="1:25" ht="16" customHeight="1">
      <c r="A30" s="2436">
        <v>10</v>
      </c>
      <c r="B30" s="2437">
        <v>4</v>
      </c>
      <c r="C30" s="2438">
        <v>4</v>
      </c>
      <c r="D30" s="2439">
        <v>3755116</v>
      </c>
      <c r="E30" s="2440">
        <v>2664</v>
      </c>
      <c r="F30" s="2437"/>
      <c r="G30" s="2438"/>
      <c r="H30" s="2438"/>
      <c r="I30" s="2441"/>
      <c r="J30" s="2437"/>
      <c r="K30" s="2438"/>
      <c r="L30" s="2438"/>
      <c r="M30" s="2441"/>
      <c r="N30" s="2437">
        <v>1</v>
      </c>
      <c r="O30" s="2438">
        <v>2</v>
      </c>
      <c r="P30" s="2438">
        <v>198933</v>
      </c>
      <c r="Q30" s="2441">
        <v>13000</v>
      </c>
      <c r="R30" s="2437"/>
      <c r="S30" s="2438"/>
      <c r="T30" s="2438"/>
      <c r="U30" s="2441"/>
      <c r="V30" s="2437">
        <f t="shared" si="0"/>
        <v>5</v>
      </c>
      <c r="W30" s="2438">
        <f t="shared" si="0"/>
        <v>6</v>
      </c>
      <c r="X30" s="2439">
        <f t="shared" si="0"/>
        <v>3954049</v>
      </c>
      <c r="Y30" s="2440">
        <f t="shared" si="0"/>
        <v>15664</v>
      </c>
    </row>
    <row r="31" spans="1:25" ht="16" customHeight="1">
      <c r="A31" s="2424">
        <v>11</v>
      </c>
      <c r="B31" s="2425">
        <v>4</v>
      </c>
      <c r="C31" s="2426">
        <v>4</v>
      </c>
      <c r="D31" s="2427">
        <v>1780000</v>
      </c>
      <c r="E31" s="2428">
        <v>1936</v>
      </c>
      <c r="F31" s="2425"/>
      <c r="G31" s="2426"/>
      <c r="H31" s="2426"/>
      <c r="I31" s="2429"/>
      <c r="J31" s="2425"/>
      <c r="K31" s="2426"/>
      <c r="L31" s="2426"/>
      <c r="M31" s="2429"/>
      <c r="N31" s="2425"/>
      <c r="O31" s="2426"/>
      <c r="P31" s="2426"/>
      <c r="Q31" s="2429"/>
      <c r="R31" s="2425"/>
      <c r="S31" s="2426"/>
      <c r="T31" s="2426"/>
      <c r="U31" s="2429"/>
      <c r="V31" s="2425">
        <f t="shared" si="0"/>
        <v>4</v>
      </c>
      <c r="W31" s="2426">
        <f t="shared" si="0"/>
        <v>4</v>
      </c>
      <c r="X31" s="2427">
        <f t="shared" si="0"/>
        <v>1780000</v>
      </c>
      <c r="Y31" s="2428">
        <f t="shared" si="0"/>
        <v>1936</v>
      </c>
    </row>
    <row r="32" spans="1:25" ht="16" customHeight="1">
      <c r="A32" s="2424">
        <v>12</v>
      </c>
      <c r="B32" s="2425">
        <v>4</v>
      </c>
      <c r="C32" s="2426">
        <v>4</v>
      </c>
      <c r="D32" s="2427">
        <v>28840</v>
      </c>
      <c r="E32" s="2428">
        <v>1633</v>
      </c>
      <c r="F32" s="2425"/>
      <c r="G32" s="2426"/>
      <c r="H32" s="2426"/>
      <c r="I32" s="2429"/>
      <c r="J32" s="2425"/>
      <c r="K32" s="2426"/>
      <c r="L32" s="2426"/>
      <c r="M32" s="2429"/>
      <c r="N32" s="2425"/>
      <c r="O32" s="2426"/>
      <c r="P32" s="2426"/>
      <c r="Q32" s="2429"/>
      <c r="R32" s="2425"/>
      <c r="S32" s="2426"/>
      <c r="T32" s="2426"/>
      <c r="U32" s="2429"/>
      <c r="V32" s="2425">
        <f t="shared" si="0"/>
        <v>4</v>
      </c>
      <c r="W32" s="2426">
        <f t="shared" si="0"/>
        <v>4</v>
      </c>
      <c r="X32" s="2427">
        <f t="shared" si="0"/>
        <v>28840</v>
      </c>
      <c r="Y32" s="2428">
        <f t="shared" si="0"/>
        <v>1633</v>
      </c>
    </row>
    <row r="33" spans="1:25" ht="16" customHeight="1">
      <c r="A33" s="2430">
        <v>13</v>
      </c>
      <c r="B33" s="2431"/>
      <c r="C33" s="2432"/>
      <c r="D33" s="2433"/>
      <c r="E33" s="2434"/>
      <c r="F33" s="2431"/>
      <c r="G33" s="2432"/>
      <c r="H33" s="2432"/>
      <c r="I33" s="2435"/>
      <c r="J33" s="2431"/>
      <c r="K33" s="2432"/>
      <c r="L33" s="2432"/>
      <c r="M33" s="2435"/>
      <c r="N33" s="2431"/>
      <c r="O33" s="2432"/>
      <c r="P33" s="2432"/>
      <c r="Q33" s="2435"/>
      <c r="R33" s="2431"/>
      <c r="S33" s="2432"/>
      <c r="T33" s="2432"/>
      <c r="U33" s="2435"/>
      <c r="V33" s="2431">
        <f t="shared" si="0"/>
        <v>0</v>
      </c>
      <c r="W33" s="2432">
        <f t="shared" si="0"/>
        <v>0</v>
      </c>
      <c r="X33" s="2433">
        <f t="shared" si="0"/>
        <v>0</v>
      </c>
      <c r="Y33" s="2434">
        <f t="shared" si="0"/>
        <v>0</v>
      </c>
    </row>
    <row r="34" spans="1:25" ht="16" customHeight="1">
      <c r="A34" s="2430">
        <v>14</v>
      </c>
      <c r="B34" s="2431"/>
      <c r="C34" s="2432"/>
      <c r="D34" s="2433"/>
      <c r="E34" s="2434"/>
      <c r="F34" s="2431"/>
      <c r="G34" s="2432"/>
      <c r="H34" s="2432"/>
      <c r="I34" s="2435"/>
      <c r="J34" s="2431"/>
      <c r="K34" s="2432"/>
      <c r="L34" s="2432"/>
      <c r="M34" s="2435"/>
      <c r="N34" s="2431"/>
      <c r="O34" s="2432"/>
      <c r="P34" s="2432"/>
      <c r="Q34" s="2435"/>
      <c r="R34" s="2431"/>
      <c r="S34" s="2432"/>
      <c r="T34" s="2432"/>
      <c r="U34" s="2435"/>
      <c r="V34" s="2431">
        <f t="shared" si="0"/>
        <v>0</v>
      </c>
      <c r="W34" s="2432">
        <f t="shared" si="0"/>
        <v>0</v>
      </c>
      <c r="X34" s="2433">
        <f t="shared" si="0"/>
        <v>0</v>
      </c>
      <c r="Y34" s="2434">
        <f t="shared" si="0"/>
        <v>0</v>
      </c>
    </row>
    <row r="35" spans="1:25" ht="16" customHeight="1">
      <c r="A35" s="2436">
        <v>15</v>
      </c>
      <c r="B35" s="2437"/>
      <c r="C35" s="2438"/>
      <c r="D35" s="2439"/>
      <c r="E35" s="2440"/>
      <c r="F35" s="2437">
        <v>1</v>
      </c>
      <c r="G35" s="2438">
        <v>1</v>
      </c>
      <c r="H35" s="2438">
        <v>4725</v>
      </c>
      <c r="I35" s="2441">
        <v>2363</v>
      </c>
      <c r="J35" s="2437"/>
      <c r="K35" s="2438"/>
      <c r="L35" s="2438"/>
      <c r="M35" s="2441"/>
      <c r="N35" s="2437"/>
      <c r="O35" s="2438"/>
      <c r="P35" s="2438"/>
      <c r="Q35" s="2441"/>
      <c r="R35" s="2437"/>
      <c r="S35" s="2438"/>
      <c r="T35" s="2438"/>
      <c r="U35" s="2441"/>
      <c r="V35" s="2437">
        <f t="shared" si="0"/>
        <v>1</v>
      </c>
      <c r="W35" s="2438">
        <f t="shared" si="0"/>
        <v>1</v>
      </c>
      <c r="X35" s="2439">
        <f t="shared" si="0"/>
        <v>4725</v>
      </c>
      <c r="Y35" s="2440">
        <f t="shared" si="0"/>
        <v>2363</v>
      </c>
    </row>
    <row r="36" spans="1:25" ht="16" customHeight="1">
      <c r="A36" s="2424">
        <v>16</v>
      </c>
      <c r="B36" s="2425"/>
      <c r="C36" s="2426"/>
      <c r="D36" s="2427"/>
      <c r="E36" s="2428"/>
      <c r="F36" s="2425">
        <v>4</v>
      </c>
      <c r="G36" s="2426">
        <v>4</v>
      </c>
      <c r="H36" s="2426">
        <v>54536</v>
      </c>
      <c r="I36" s="2429">
        <v>18780</v>
      </c>
      <c r="J36" s="2425"/>
      <c r="K36" s="2426"/>
      <c r="L36" s="2426"/>
      <c r="M36" s="2429"/>
      <c r="N36" s="2425"/>
      <c r="O36" s="2426"/>
      <c r="P36" s="2426"/>
      <c r="Q36" s="2429"/>
      <c r="R36" s="2425"/>
      <c r="S36" s="2426"/>
      <c r="T36" s="2426"/>
      <c r="U36" s="2429"/>
      <c r="V36" s="2425">
        <f t="shared" si="0"/>
        <v>4</v>
      </c>
      <c r="W36" s="2426">
        <f t="shared" si="0"/>
        <v>4</v>
      </c>
      <c r="X36" s="2427">
        <f t="shared" si="0"/>
        <v>54536</v>
      </c>
      <c r="Y36" s="2428">
        <f t="shared" si="0"/>
        <v>18780</v>
      </c>
    </row>
    <row r="37" spans="1:25" ht="16" customHeight="1">
      <c r="A37" s="2424">
        <v>17</v>
      </c>
      <c r="B37" s="2425"/>
      <c r="C37" s="2426"/>
      <c r="D37" s="2427"/>
      <c r="E37" s="2428"/>
      <c r="F37" s="2425">
        <v>2</v>
      </c>
      <c r="G37" s="2426">
        <v>2</v>
      </c>
      <c r="H37" s="2426">
        <v>99300</v>
      </c>
      <c r="I37" s="2429">
        <v>16560</v>
      </c>
      <c r="J37" s="2425"/>
      <c r="K37" s="2426"/>
      <c r="L37" s="2426"/>
      <c r="M37" s="2429"/>
      <c r="N37" s="2425"/>
      <c r="O37" s="2426"/>
      <c r="P37" s="2426"/>
      <c r="Q37" s="2429"/>
      <c r="R37" s="2425"/>
      <c r="S37" s="2426"/>
      <c r="T37" s="2426"/>
      <c r="U37" s="2429"/>
      <c r="V37" s="2425">
        <f t="shared" si="0"/>
        <v>2</v>
      </c>
      <c r="W37" s="2426">
        <f t="shared" si="0"/>
        <v>2</v>
      </c>
      <c r="X37" s="2427">
        <f t="shared" si="0"/>
        <v>99300</v>
      </c>
      <c r="Y37" s="2428">
        <f t="shared" si="0"/>
        <v>16560</v>
      </c>
    </row>
    <row r="38" spans="1:25" ht="16" customHeight="1">
      <c r="A38" s="2430">
        <v>18</v>
      </c>
      <c r="B38" s="2431"/>
      <c r="C38" s="2432"/>
      <c r="D38" s="2433"/>
      <c r="E38" s="2434"/>
      <c r="F38" s="2431">
        <v>1</v>
      </c>
      <c r="G38" s="2432">
        <v>1</v>
      </c>
      <c r="H38" s="2432">
        <v>31800</v>
      </c>
      <c r="I38" s="2435">
        <v>3180</v>
      </c>
      <c r="J38" s="2431"/>
      <c r="K38" s="2432"/>
      <c r="L38" s="2432"/>
      <c r="M38" s="2435"/>
      <c r="N38" s="2431"/>
      <c r="O38" s="2432"/>
      <c r="P38" s="2432"/>
      <c r="Q38" s="2435"/>
      <c r="R38" s="2431">
        <v>4</v>
      </c>
      <c r="S38" s="2432">
        <v>9</v>
      </c>
      <c r="T38" s="2432">
        <v>5050</v>
      </c>
      <c r="U38" s="2435">
        <v>1984</v>
      </c>
      <c r="V38" s="2431">
        <f t="shared" si="0"/>
        <v>5</v>
      </c>
      <c r="W38" s="2432">
        <f t="shared" si="0"/>
        <v>10</v>
      </c>
      <c r="X38" s="2433">
        <f t="shared" si="0"/>
        <v>36850</v>
      </c>
      <c r="Y38" s="2434">
        <f t="shared" si="0"/>
        <v>5164</v>
      </c>
    </row>
    <row r="39" spans="1:25" ht="16" customHeight="1">
      <c r="A39" s="2430">
        <v>19</v>
      </c>
      <c r="B39" s="2431"/>
      <c r="C39" s="2432"/>
      <c r="D39" s="2433"/>
      <c r="E39" s="2434"/>
      <c r="F39" s="2431">
        <v>1</v>
      </c>
      <c r="G39" s="2432">
        <v>1</v>
      </c>
      <c r="H39" s="2432">
        <v>22512</v>
      </c>
      <c r="I39" s="2435">
        <v>11256</v>
      </c>
      <c r="J39" s="2431"/>
      <c r="K39" s="2432"/>
      <c r="L39" s="2432"/>
      <c r="M39" s="2435"/>
      <c r="N39" s="2431"/>
      <c r="O39" s="2432"/>
      <c r="P39" s="2432"/>
      <c r="Q39" s="2435"/>
      <c r="R39" s="2431">
        <v>2</v>
      </c>
      <c r="S39" s="2432">
        <v>3</v>
      </c>
      <c r="T39" s="2432">
        <v>5460</v>
      </c>
      <c r="U39" s="2435">
        <v>2721</v>
      </c>
      <c r="V39" s="2431">
        <f t="shared" si="0"/>
        <v>3</v>
      </c>
      <c r="W39" s="2432">
        <f t="shared" si="0"/>
        <v>4</v>
      </c>
      <c r="X39" s="2433">
        <f t="shared" si="0"/>
        <v>27972</v>
      </c>
      <c r="Y39" s="2434">
        <f t="shared" si="0"/>
        <v>13977</v>
      </c>
    </row>
    <row r="40" spans="1:25" ht="16" customHeight="1">
      <c r="A40" s="2436">
        <v>20</v>
      </c>
      <c r="B40" s="2437"/>
      <c r="C40" s="2438"/>
      <c r="D40" s="2439"/>
      <c r="E40" s="2440"/>
      <c r="F40" s="2437"/>
      <c r="G40" s="2438"/>
      <c r="H40" s="2438"/>
      <c r="I40" s="2441"/>
      <c r="J40" s="2437"/>
      <c r="K40" s="2438"/>
      <c r="L40" s="2438"/>
      <c r="M40" s="2441"/>
      <c r="N40" s="2437"/>
      <c r="O40" s="2438"/>
      <c r="P40" s="2438"/>
      <c r="Q40" s="2441"/>
      <c r="R40" s="2437"/>
      <c r="S40" s="2438"/>
      <c r="T40" s="2438"/>
      <c r="U40" s="2441"/>
      <c r="V40" s="2437">
        <f t="shared" si="0"/>
        <v>0</v>
      </c>
      <c r="W40" s="2438">
        <f t="shared" si="0"/>
        <v>0</v>
      </c>
      <c r="X40" s="2439">
        <f t="shared" si="0"/>
        <v>0</v>
      </c>
      <c r="Y40" s="2440">
        <f t="shared" si="0"/>
        <v>0</v>
      </c>
    </row>
    <row r="41" spans="1:25" ht="16" customHeight="1">
      <c r="A41" s="2424">
        <v>21</v>
      </c>
      <c r="B41" s="2425"/>
      <c r="C41" s="2426"/>
      <c r="D41" s="2427"/>
      <c r="E41" s="2428"/>
      <c r="F41" s="2425">
        <v>2</v>
      </c>
      <c r="G41" s="2426">
        <v>2</v>
      </c>
      <c r="H41" s="2426">
        <v>11130</v>
      </c>
      <c r="I41" s="2429">
        <v>2997.5</v>
      </c>
      <c r="J41" s="2425"/>
      <c r="K41" s="2426"/>
      <c r="L41" s="2426"/>
      <c r="M41" s="2429"/>
      <c r="N41" s="2425"/>
      <c r="O41" s="2426"/>
      <c r="P41" s="2426"/>
      <c r="Q41" s="2429"/>
      <c r="R41" s="2425"/>
      <c r="S41" s="2426"/>
      <c r="T41" s="2426"/>
      <c r="U41" s="2429"/>
      <c r="V41" s="2425">
        <f t="shared" si="0"/>
        <v>2</v>
      </c>
      <c r="W41" s="2426">
        <f t="shared" si="0"/>
        <v>2</v>
      </c>
      <c r="X41" s="2427">
        <f t="shared" si="0"/>
        <v>11130</v>
      </c>
      <c r="Y41" s="2428">
        <f t="shared" si="0"/>
        <v>2997.5</v>
      </c>
    </row>
    <row r="42" spans="1:25" ht="16" customHeight="1">
      <c r="A42" s="2424">
        <v>22</v>
      </c>
      <c r="B42" s="2425"/>
      <c r="C42" s="2426"/>
      <c r="D42" s="2427"/>
      <c r="E42" s="2428"/>
      <c r="F42" s="2425">
        <v>1</v>
      </c>
      <c r="G42" s="2426">
        <v>1</v>
      </c>
      <c r="H42" s="2426">
        <v>34562</v>
      </c>
      <c r="I42" s="2429">
        <v>17281</v>
      </c>
      <c r="J42" s="2425"/>
      <c r="K42" s="2426"/>
      <c r="L42" s="2426"/>
      <c r="M42" s="2429"/>
      <c r="N42" s="2425"/>
      <c r="O42" s="2426"/>
      <c r="P42" s="2426"/>
      <c r="Q42" s="2429"/>
      <c r="R42" s="2425"/>
      <c r="S42" s="2426"/>
      <c r="T42" s="2426"/>
      <c r="U42" s="2429"/>
      <c r="V42" s="2425">
        <f t="shared" si="0"/>
        <v>1</v>
      </c>
      <c r="W42" s="2426">
        <f t="shared" si="0"/>
        <v>1</v>
      </c>
      <c r="X42" s="2427">
        <f t="shared" si="0"/>
        <v>34562</v>
      </c>
      <c r="Y42" s="2428">
        <f t="shared" si="0"/>
        <v>17281</v>
      </c>
    </row>
    <row r="43" spans="1:25" ht="16" customHeight="1">
      <c r="A43" s="2430">
        <v>23</v>
      </c>
      <c r="B43" s="2431"/>
      <c r="C43" s="2432"/>
      <c r="D43" s="2433"/>
      <c r="E43" s="2434"/>
      <c r="F43" s="2431"/>
      <c r="G43" s="2432"/>
      <c r="H43" s="2432"/>
      <c r="I43" s="2442"/>
      <c r="J43" s="2431"/>
      <c r="K43" s="2432"/>
      <c r="L43" s="2432"/>
      <c r="M43" s="2435"/>
      <c r="N43" s="2431"/>
      <c r="O43" s="2432"/>
      <c r="P43" s="2432"/>
      <c r="Q43" s="2435"/>
      <c r="R43" s="2431"/>
      <c r="S43" s="2432"/>
      <c r="T43" s="2432"/>
      <c r="U43" s="2435"/>
      <c r="V43" s="2431">
        <f t="shared" si="0"/>
        <v>0</v>
      </c>
      <c r="W43" s="2432">
        <f t="shared" si="0"/>
        <v>0</v>
      </c>
      <c r="X43" s="2433">
        <f t="shared" si="0"/>
        <v>0</v>
      </c>
      <c r="Y43" s="2443">
        <f t="shared" si="0"/>
        <v>0</v>
      </c>
    </row>
    <row r="44" spans="1:25" ht="16" customHeight="1">
      <c r="A44" s="2430">
        <v>24</v>
      </c>
      <c r="B44" s="2431"/>
      <c r="C44" s="2432"/>
      <c r="D44" s="2433"/>
      <c r="E44" s="2434"/>
      <c r="F44" s="2431">
        <v>2</v>
      </c>
      <c r="G44" s="2432">
        <v>2</v>
      </c>
      <c r="H44" s="2432">
        <v>24755</v>
      </c>
      <c r="I44" s="2435">
        <v>6683.5</v>
      </c>
      <c r="J44" s="2431"/>
      <c r="K44" s="2432"/>
      <c r="L44" s="2432"/>
      <c r="M44" s="2435"/>
      <c r="N44" s="2431"/>
      <c r="O44" s="2432"/>
      <c r="P44" s="2432"/>
      <c r="Q44" s="2435"/>
      <c r="R44" s="2431"/>
      <c r="S44" s="2432"/>
      <c r="T44" s="2432"/>
      <c r="U44" s="2435"/>
      <c r="V44" s="2431">
        <f t="shared" si="0"/>
        <v>2</v>
      </c>
      <c r="W44" s="2432">
        <f t="shared" si="0"/>
        <v>2</v>
      </c>
      <c r="X44" s="2432">
        <f t="shared" si="0"/>
        <v>24755</v>
      </c>
      <c r="Y44" s="2435">
        <f t="shared" si="0"/>
        <v>6683.5</v>
      </c>
    </row>
    <row r="45" spans="1:25" ht="18" customHeight="1">
      <c r="A45" s="2436">
        <v>25</v>
      </c>
      <c r="B45" s="2437"/>
      <c r="C45" s="2438"/>
      <c r="D45" s="2439"/>
      <c r="E45" s="2440"/>
      <c r="F45" s="2437">
        <v>2</v>
      </c>
      <c r="G45" s="2438">
        <v>2</v>
      </c>
      <c r="H45" s="2438">
        <f>187627+9439.5</f>
        <v>197066.5</v>
      </c>
      <c r="I45" s="2441">
        <f>37525+4719.75</f>
        <v>42244.75</v>
      </c>
      <c r="J45" s="2437"/>
      <c r="K45" s="2438"/>
      <c r="L45" s="2438"/>
      <c r="M45" s="2441"/>
      <c r="N45" s="2437"/>
      <c r="O45" s="2438"/>
      <c r="P45" s="2438"/>
      <c r="Q45" s="2441"/>
      <c r="R45" s="2437"/>
      <c r="S45" s="2438"/>
      <c r="T45" s="2438"/>
      <c r="U45" s="2441"/>
      <c r="V45" s="2437">
        <f t="shared" ref="V45:Y52" si="1">B45+F45+J45+N45+R45</f>
        <v>2</v>
      </c>
      <c r="W45" s="2438">
        <f t="shared" si="1"/>
        <v>2</v>
      </c>
      <c r="X45" s="2438">
        <f t="shared" si="1"/>
        <v>197066.5</v>
      </c>
      <c r="Y45" s="2441">
        <f t="shared" si="1"/>
        <v>42244.75</v>
      </c>
    </row>
    <row r="46" spans="1:25" ht="18" customHeight="1">
      <c r="A46" s="2444">
        <v>26</v>
      </c>
      <c r="B46" s="2445"/>
      <c r="C46" s="2446"/>
      <c r="D46" s="2447"/>
      <c r="E46" s="2448"/>
      <c r="F46" s="2445">
        <v>1</v>
      </c>
      <c r="G46" s="2446">
        <v>1</v>
      </c>
      <c r="H46" s="2446">
        <v>605392.75699999998</v>
      </c>
      <c r="I46" s="2449">
        <v>18202</v>
      </c>
      <c r="J46" s="2445"/>
      <c r="K46" s="2446"/>
      <c r="L46" s="2446"/>
      <c r="M46" s="2449"/>
      <c r="N46" s="2445"/>
      <c r="O46" s="2446"/>
      <c r="P46" s="2446"/>
      <c r="Q46" s="2449"/>
      <c r="R46" s="2445"/>
      <c r="S46" s="2446"/>
      <c r="T46" s="2446"/>
      <c r="U46" s="2449"/>
      <c r="V46" s="2445">
        <f t="shared" si="1"/>
        <v>1</v>
      </c>
      <c r="W46" s="2446">
        <f t="shared" si="1"/>
        <v>1</v>
      </c>
      <c r="X46" s="2446">
        <f t="shared" si="1"/>
        <v>605392.75699999998</v>
      </c>
      <c r="Y46" s="2449">
        <f t="shared" si="1"/>
        <v>18202</v>
      </c>
    </row>
    <row r="47" spans="1:25" ht="18" customHeight="1">
      <c r="A47" s="2450">
        <v>27</v>
      </c>
      <c r="B47" s="2431"/>
      <c r="C47" s="2432"/>
      <c r="D47" s="2433"/>
      <c r="E47" s="2434"/>
      <c r="F47" s="2431">
        <v>2</v>
      </c>
      <c r="G47" s="2432">
        <v>2</v>
      </c>
      <c r="H47" s="2432">
        <f>203882+14706</f>
        <v>218588</v>
      </c>
      <c r="I47" s="2435">
        <f>1538+2627</f>
        <v>4165</v>
      </c>
      <c r="J47" s="2431"/>
      <c r="K47" s="2432"/>
      <c r="L47" s="2432"/>
      <c r="M47" s="2435"/>
      <c r="N47" s="2431"/>
      <c r="O47" s="2432"/>
      <c r="P47" s="2432"/>
      <c r="Q47" s="2435"/>
      <c r="R47" s="2431"/>
      <c r="S47" s="2432"/>
      <c r="T47" s="2432"/>
      <c r="U47" s="2435"/>
      <c r="V47" s="2431">
        <f t="shared" si="1"/>
        <v>2</v>
      </c>
      <c r="W47" s="2432">
        <f t="shared" si="1"/>
        <v>2</v>
      </c>
      <c r="X47" s="2432">
        <f t="shared" si="1"/>
        <v>218588</v>
      </c>
      <c r="Y47" s="2435">
        <f t="shared" si="1"/>
        <v>4165</v>
      </c>
    </row>
    <row r="48" spans="1:25" ht="18" customHeight="1">
      <c r="A48" s="2450">
        <v>28</v>
      </c>
      <c r="B48" s="2431"/>
      <c r="C48" s="2432"/>
      <c r="D48" s="2433"/>
      <c r="E48" s="2434"/>
      <c r="F48" s="2431">
        <v>1</v>
      </c>
      <c r="G48" s="2432">
        <v>1</v>
      </c>
      <c r="H48" s="2432">
        <v>15444</v>
      </c>
      <c r="I48" s="2435">
        <v>2790</v>
      </c>
      <c r="J48" s="2431"/>
      <c r="K48" s="2432"/>
      <c r="L48" s="2432"/>
      <c r="M48" s="2435"/>
      <c r="N48" s="2431"/>
      <c r="O48" s="2432"/>
      <c r="P48" s="2432"/>
      <c r="Q48" s="2435"/>
      <c r="R48" s="2431"/>
      <c r="S48" s="2432"/>
      <c r="T48" s="2432"/>
      <c r="U48" s="2435"/>
      <c r="V48" s="2431">
        <f t="shared" si="1"/>
        <v>1</v>
      </c>
      <c r="W48" s="2432">
        <f t="shared" si="1"/>
        <v>1</v>
      </c>
      <c r="X48" s="2432">
        <f t="shared" si="1"/>
        <v>15444</v>
      </c>
      <c r="Y48" s="2435">
        <f t="shared" si="1"/>
        <v>2790</v>
      </c>
    </row>
    <row r="49" spans="1:25" ht="18" customHeight="1">
      <c r="A49" s="2450">
        <v>29</v>
      </c>
      <c r="B49" s="2431"/>
      <c r="C49" s="2432"/>
      <c r="D49" s="2433"/>
      <c r="E49" s="2434"/>
      <c r="F49" s="2431">
        <v>1</v>
      </c>
      <c r="G49" s="2432">
        <v>1</v>
      </c>
      <c r="H49" s="2432">
        <v>89996</v>
      </c>
      <c r="I49" s="2435">
        <v>14602</v>
      </c>
      <c r="J49" s="2431"/>
      <c r="K49" s="2432"/>
      <c r="L49" s="2432"/>
      <c r="M49" s="2435"/>
      <c r="N49" s="2431"/>
      <c r="O49" s="2432"/>
      <c r="P49" s="2432"/>
      <c r="Q49" s="2435"/>
      <c r="R49" s="2431"/>
      <c r="S49" s="2432"/>
      <c r="T49" s="2432"/>
      <c r="U49" s="2435"/>
      <c r="V49" s="2431">
        <f t="shared" si="1"/>
        <v>1</v>
      </c>
      <c r="W49" s="2432">
        <f t="shared" si="1"/>
        <v>1</v>
      </c>
      <c r="X49" s="2432">
        <f t="shared" si="1"/>
        <v>89996</v>
      </c>
      <c r="Y49" s="2435">
        <f t="shared" si="1"/>
        <v>14602</v>
      </c>
    </row>
    <row r="50" spans="1:25" ht="18" customHeight="1">
      <c r="A50" s="2451">
        <v>30</v>
      </c>
      <c r="B50" s="2452"/>
      <c r="C50" s="2453"/>
      <c r="D50" s="2454"/>
      <c r="E50" s="2455"/>
      <c r="F50" s="2452"/>
      <c r="G50" s="2453"/>
      <c r="H50" s="2453"/>
      <c r="I50" s="2456"/>
      <c r="J50" s="2452"/>
      <c r="K50" s="2453"/>
      <c r="L50" s="2453"/>
      <c r="M50" s="2456"/>
      <c r="N50" s="2452"/>
      <c r="O50" s="2453"/>
      <c r="P50" s="2453"/>
      <c r="Q50" s="2456"/>
      <c r="R50" s="2452"/>
      <c r="S50" s="2453"/>
      <c r="T50" s="2453"/>
      <c r="U50" s="2456"/>
      <c r="V50" s="2452">
        <f t="shared" si="1"/>
        <v>0</v>
      </c>
      <c r="W50" s="2453">
        <f t="shared" si="1"/>
        <v>0</v>
      </c>
      <c r="X50" s="2453">
        <f t="shared" si="1"/>
        <v>0</v>
      </c>
      <c r="Y50" s="2456">
        <f t="shared" si="1"/>
        <v>0</v>
      </c>
    </row>
    <row r="51" spans="1:25" ht="18" customHeight="1">
      <c r="A51" s="2457" t="s">
        <v>1362</v>
      </c>
      <c r="B51" s="2458"/>
      <c r="C51" s="2459"/>
      <c r="D51" s="2460"/>
      <c r="E51" s="2461"/>
      <c r="F51" s="2458"/>
      <c r="G51" s="2459"/>
      <c r="H51" s="2459"/>
      <c r="I51" s="2462"/>
      <c r="J51" s="2458"/>
      <c r="K51" s="2459"/>
      <c r="L51" s="2459"/>
      <c r="M51" s="2462"/>
      <c r="N51" s="2458"/>
      <c r="O51" s="2459"/>
      <c r="P51" s="2459"/>
      <c r="Q51" s="2462"/>
      <c r="R51" s="2458">
        <v>1</v>
      </c>
      <c r="S51" s="2459">
        <v>1</v>
      </c>
      <c r="T51" s="2459">
        <v>2486</v>
      </c>
      <c r="U51" s="2462">
        <v>1243</v>
      </c>
      <c r="V51" s="2458">
        <f t="shared" si="1"/>
        <v>1</v>
      </c>
      <c r="W51" s="2459">
        <f t="shared" si="1"/>
        <v>1</v>
      </c>
      <c r="X51" s="2459">
        <f t="shared" si="1"/>
        <v>2486</v>
      </c>
      <c r="Y51" s="2462">
        <f t="shared" si="1"/>
        <v>1243</v>
      </c>
    </row>
    <row r="52" spans="1:25" ht="18" customHeight="1">
      <c r="A52" s="2463">
        <v>2</v>
      </c>
      <c r="B52" s="2464"/>
      <c r="C52" s="2465"/>
      <c r="D52" s="2466"/>
      <c r="E52" s="2467"/>
      <c r="F52" s="2464"/>
      <c r="G52" s="2465"/>
      <c r="H52" s="2465"/>
      <c r="I52" s="2468"/>
      <c r="J52" s="2464"/>
      <c r="K52" s="2465"/>
      <c r="L52" s="2465"/>
      <c r="M52" s="2468"/>
      <c r="N52" s="2464"/>
      <c r="O52" s="2465"/>
      <c r="P52" s="2465"/>
      <c r="Q52" s="2468"/>
      <c r="R52" s="2464"/>
      <c r="S52" s="2465"/>
      <c r="T52" s="2465"/>
      <c r="U52" s="2468"/>
      <c r="V52" s="2464">
        <f t="shared" si="1"/>
        <v>0</v>
      </c>
      <c r="W52" s="2465">
        <f t="shared" si="1"/>
        <v>0</v>
      </c>
      <c r="X52" s="2465">
        <f t="shared" si="1"/>
        <v>0</v>
      </c>
      <c r="Y52" s="2468">
        <f t="shared" si="1"/>
        <v>0</v>
      </c>
    </row>
  </sheetData>
  <mergeCells count="31">
    <mergeCell ref="U4:U6"/>
    <mergeCell ref="V4:V6"/>
    <mergeCell ref="W4:W6"/>
    <mergeCell ref="X4:X6"/>
    <mergeCell ref="Y4:Y6"/>
    <mergeCell ref="O4:O6"/>
    <mergeCell ref="P4:P6"/>
    <mergeCell ref="Q4:Q6"/>
    <mergeCell ref="R4:R6"/>
    <mergeCell ref="S4:S6"/>
    <mergeCell ref="T4:T6"/>
    <mergeCell ref="V3:Y3"/>
    <mergeCell ref="B4:B6"/>
    <mergeCell ref="C4:C6"/>
    <mergeCell ref="D4:D6"/>
    <mergeCell ref="E4:E6"/>
    <mergeCell ref="F4:F6"/>
    <mergeCell ref="G4:G6"/>
    <mergeCell ref="H4:H6"/>
    <mergeCell ref="I4:I6"/>
    <mergeCell ref="J4:J6"/>
    <mergeCell ref="A3:A6"/>
    <mergeCell ref="B3:E3"/>
    <mergeCell ref="F3:I3"/>
    <mergeCell ref="J3:M3"/>
    <mergeCell ref="N3:Q3"/>
    <mergeCell ref="R3:U3"/>
    <mergeCell ref="K4:K6"/>
    <mergeCell ref="L4:L6"/>
    <mergeCell ref="M4:M6"/>
    <mergeCell ref="N4:N6"/>
  </mergeCells>
  <phoneticPr fontId="6"/>
  <printOptions horizontalCentered="1" gridLinesSet="0"/>
  <pageMargins left="0.78740157480314965" right="0.19685039370078741" top="0.59055118110236227" bottom="0.59055118110236227" header="0.51181102362204722" footer="0.39370078740157483"/>
  <pageSetup paperSize="9" scale="75" orientation="portrait" horizontalDpi="300" verticalDpi="300"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FA5980-AB3F-4C64-8BAF-3291D5CFD59E}">
  <dimension ref="A1:Q21"/>
  <sheetViews>
    <sheetView view="pageBreakPreview" zoomScaleNormal="75" zoomScaleSheetLayoutView="100" workbookViewId="0"/>
  </sheetViews>
  <sheetFormatPr defaultColWidth="10" defaultRowHeight="26.15" customHeight="1"/>
  <cols>
    <col min="1" max="1" width="6.6328125" style="2497" customWidth="1"/>
    <col min="2" max="3" width="3.90625" style="2497" customWidth="1"/>
    <col min="4" max="16" width="7.08984375" style="2470" customWidth="1"/>
    <col min="17" max="17" width="8" style="2470" customWidth="1"/>
    <col min="18" max="16384" width="10" style="2470"/>
  </cols>
  <sheetData>
    <row r="1" spans="1:17" ht="18" customHeight="1">
      <c r="A1" s="2469" t="s">
        <v>1363</v>
      </c>
      <c r="B1" s="2470"/>
      <c r="C1" s="2470"/>
    </row>
    <row r="2" spans="1:17" ht="18" customHeight="1">
      <c r="A2" s="2470"/>
      <c r="B2" s="2470"/>
      <c r="C2" s="2470"/>
    </row>
    <row r="3" spans="1:17" ht="30.25" customHeight="1">
      <c r="A3" s="2471" t="s">
        <v>1364</v>
      </c>
      <c r="B3" s="2470"/>
      <c r="C3" s="2470"/>
    </row>
    <row r="4" spans="1:17" s="2476" customFormat="1" ht="45.25" customHeight="1">
      <c r="A4" s="2472" t="s">
        <v>1365</v>
      </c>
      <c r="B4" s="2472"/>
      <c r="C4" s="2472"/>
      <c r="D4" s="2473" t="s">
        <v>1366</v>
      </c>
      <c r="E4" s="2473" t="s">
        <v>1367</v>
      </c>
      <c r="F4" s="2473" t="s">
        <v>1368</v>
      </c>
      <c r="G4" s="2474" t="s">
        <v>1369</v>
      </c>
      <c r="H4" s="2474"/>
      <c r="I4" s="2473" t="s">
        <v>1370</v>
      </c>
      <c r="J4" s="2473" t="s">
        <v>1371</v>
      </c>
      <c r="K4" s="2474" t="s">
        <v>1372</v>
      </c>
      <c r="L4" s="2474"/>
      <c r="M4" s="2473" t="s">
        <v>1373</v>
      </c>
      <c r="N4" s="2473" t="s">
        <v>1374</v>
      </c>
      <c r="O4" s="2473" t="s">
        <v>1375</v>
      </c>
      <c r="P4" s="2473" t="s">
        <v>1376</v>
      </c>
      <c r="Q4" s="2475" t="s">
        <v>202</v>
      </c>
    </row>
    <row r="5" spans="1:17" ht="30.25" customHeight="1">
      <c r="A5" s="2472" t="s">
        <v>1377</v>
      </c>
      <c r="B5" s="2472" t="s">
        <v>1378</v>
      </c>
      <c r="C5" s="2472"/>
      <c r="D5" s="2477" t="s">
        <v>1379</v>
      </c>
      <c r="E5" s="2477" t="s">
        <v>1379</v>
      </c>
      <c r="F5" s="2477" t="s">
        <v>1379</v>
      </c>
      <c r="G5" s="2478" t="s">
        <v>1379</v>
      </c>
      <c r="H5" s="2478"/>
      <c r="I5" s="2477" t="s">
        <v>1379</v>
      </c>
      <c r="J5" s="2477" t="s">
        <v>1379</v>
      </c>
      <c r="K5" s="2478" t="s">
        <v>1380</v>
      </c>
      <c r="L5" s="2478"/>
      <c r="M5" s="2477" t="s">
        <v>1379</v>
      </c>
      <c r="N5" s="2477" t="s">
        <v>1379</v>
      </c>
      <c r="O5" s="2477" t="s">
        <v>1379</v>
      </c>
      <c r="P5" s="2477" t="s">
        <v>1379</v>
      </c>
      <c r="Q5" s="2479"/>
    </row>
    <row r="6" spans="1:17" ht="30.25" customHeight="1">
      <c r="A6" s="2472"/>
      <c r="B6" s="2472" t="s">
        <v>1381</v>
      </c>
      <c r="C6" s="2472"/>
      <c r="D6" s="2477" t="s">
        <v>1382</v>
      </c>
      <c r="E6" s="2477" t="s">
        <v>1383</v>
      </c>
      <c r="F6" s="2477" t="s">
        <v>1384</v>
      </c>
      <c r="G6" s="2478" t="s">
        <v>1385</v>
      </c>
      <c r="H6" s="2478"/>
      <c r="I6" s="2477" t="s">
        <v>1386</v>
      </c>
      <c r="J6" s="2477" t="s">
        <v>1387</v>
      </c>
      <c r="K6" s="2478" t="s">
        <v>1387</v>
      </c>
      <c r="L6" s="2478"/>
      <c r="M6" s="2477" t="s">
        <v>1388</v>
      </c>
      <c r="N6" s="2477" t="s">
        <v>1389</v>
      </c>
      <c r="O6" s="2477" t="s">
        <v>1390</v>
      </c>
      <c r="P6" s="2477" t="s">
        <v>1391</v>
      </c>
      <c r="Q6" s="2480"/>
    </row>
    <row r="7" spans="1:17" ht="30.25" customHeight="1">
      <c r="A7" s="2472"/>
      <c r="B7" s="2472" t="s">
        <v>1392</v>
      </c>
      <c r="C7" s="2472"/>
      <c r="D7" s="2481">
        <v>3297623</v>
      </c>
      <c r="E7" s="2481">
        <v>1188607</v>
      </c>
      <c r="F7" s="2481">
        <v>3834727</v>
      </c>
      <c r="G7" s="2482">
        <v>7575000</v>
      </c>
      <c r="H7" s="2483"/>
      <c r="I7" s="2481">
        <v>17527800</v>
      </c>
      <c r="J7" s="2481">
        <v>11059000</v>
      </c>
      <c r="K7" s="2482">
        <v>47943702</v>
      </c>
      <c r="L7" s="2483"/>
      <c r="M7" s="2481">
        <v>14200000</v>
      </c>
      <c r="N7" s="2481">
        <v>28520000</v>
      </c>
      <c r="O7" s="2481">
        <v>21199981</v>
      </c>
      <c r="P7" s="2481">
        <v>12500000</v>
      </c>
      <c r="Q7" s="2484">
        <f>SUM(D7:P7)</f>
        <v>168846440</v>
      </c>
    </row>
    <row r="8" spans="1:17" s="2476" customFormat="1" ht="60" customHeight="1">
      <c r="A8" s="2472" t="s">
        <v>1393</v>
      </c>
      <c r="B8" s="2472"/>
      <c r="C8" s="2472"/>
      <c r="D8" s="2485" t="s">
        <v>1394</v>
      </c>
      <c r="E8" s="2485" t="s">
        <v>1395</v>
      </c>
      <c r="F8" s="2485" t="s">
        <v>1396</v>
      </c>
      <c r="G8" s="2485" t="s">
        <v>1394</v>
      </c>
      <c r="H8" s="2485" t="s">
        <v>1397</v>
      </c>
      <c r="I8" s="2485" t="s">
        <v>1398</v>
      </c>
      <c r="J8" s="2485" t="s">
        <v>1399</v>
      </c>
      <c r="K8" s="2485" t="s">
        <v>1394</v>
      </c>
      <c r="L8" s="2485" t="s">
        <v>1400</v>
      </c>
      <c r="M8" s="2485" t="s">
        <v>1401</v>
      </c>
      <c r="N8" s="2485" t="s">
        <v>1402</v>
      </c>
      <c r="O8" s="2485" t="s">
        <v>1403</v>
      </c>
      <c r="P8" s="2485" t="s">
        <v>1404</v>
      </c>
      <c r="Q8" s="2475"/>
    </row>
    <row r="9" spans="1:17" ht="30.25" customHeight="1">
      <c r="A9" s="2472" t="s">
        <v>1405</v>
      </c>
      <c r="B9" s="2472"/>
      <c r="C9" s="2472"/>
      <c r="D9" s="2486">
        <v>2.7000054281523387E-2</v>
      </c>
      <c r="E9" s="2487">
        <v>0.17839958876230746</v>
      </c>
      <c r="F9" s="2486">
        <v>6.7000075885454161E-2</v>
      </c>
      <c r="G9" s="2487">
        <v>7.9670759075907593E-2</v>
      </c>
      <c r="H9" s="2487">
        <v>1.3292409240924093E-3</v>
      </c>
      <c r="I9" s="2488">
        <v>0.26</v>
      </c>
      <c r="J9" s="2486">
        <v>8.3000271272266932E-2</v>
      </c>
      <c r="K9" s="2486">
        <v>5.6000000000000001E-2</v>
      </c>
      <c r="L9" s="2488">
        <v>9.9791626437190847E-3</v>
      </c>
      <c r="M9" s="2486">
        <v>9.8000000000000004E-2</v>
      </c>
      <c r="N9" s="2486">
        <v>0.30499999999999999</v>
      </c>
      <c r="O9" s="2488">
        <v>0.13</v>
      </c>
      <c r="P9" s="2486">
        <v>5.0000000000000001E-3</v>
      </c>
      <c r="Q9" s="2489"/>
    </row>
    <row r="10" spans="1:17" ht="30.25" customHeight="1">
      <c r="A10" s="2472" t="s">
        <v>1406</v>
      </c>
      <c r="B10" s="2472"/>
      <c r="C10" s="2472"/>
      <c r="D10" s="2481">
        <v>89036</v>
      </c>
      <c r="E10" s="2481">
        <v>212047</v>
      </c>
      <c r="F10" s="2481">
        <v>256927</v>
      </c>
      <c r="G10" s="2481">
        <v>603506</v>
      </c>
      <c r="H10" s="2481">
        <v>10069</v>
      </c>
      <c r="I10" s="2481">
        <v>4557228</v>
      </c>
      <c r="J10" s="2481">
        <v>917900</v>
      </c>
      <c r="K10" s="2481">
        <v>2679110</v>
      </c>
      <c r="L10" s="2481">
        <v>478438</v>
      </c>
      <c r="M10" s="2481">
        <v>1359848</v>
      </c>
      <c r="N10" s="2481">
        <v>8698600</v>
      </c>
      <c r="O10" s="2481">
        <v>2755998</v>
      </c>
      <c r="P10" s="2481">
        <v>62500</v>
      </c>
      <c r="Q10" s="2484">
        <f>SUM(D10:P10)</f>
        <v>22681207</v>
      </c>
    </row>
    <row r="11" spans="1:17" ht="30.25" customHeight="1">
      <c r="A11" s="2472" t="s">
        <v>1407</v>
      </c>
      <c r="B11" s="2472" t="s">
        <v>1408</v>
      </c>
      <c r="C11" s="2472"/>
      <c r="D11" s="2481">
        <v>2932</v>
      </c>
      <c r="E11" s="2481">
        <v>3594</v>
      </c>
      <c r="F11" s="2481">
        <v>48102</v>
      </c>
      <c r="G11" s="2481">
        <v>171031</v>
      </c>
      <c r="H11" s="2481">
        <v>0</v>
      </c>
      <c r="I11" s="2481">
        <v>2119986</v>
      </c>
      <c r="J11" s="2481">
        <v>419658</v>
      </c>
      <c r="K11" s="2481">
        <v>856815</v>
      </c>
      <c r="L11" s="2481">
        <v>153900</v>
      </c>
      <c r="M11" s="2481">
        <v>675949</v>
      </c>
      <c r="N11" s="2481">
        <v>4329807</v>
      </c>
      <c r="O11" s="2481">
        <v>1173233</v>
      </c>
      <c r="P11" s="2481">
        <v>31250</v>
      </c>
      <c r="Q11" s="2484">
        <f>SUM(D11:P11)</f>
        <v>9986257</v>
      </c>
    </row>
    <row r="12" spans="1:17" ht="30.25" customHeight="1">
      <c r="A12" s="2472"/>
      <c r="B12" s="2472" t="s">
        <v>1409</v>
      </c>
      <c r="C12" s="2472"/>
      <c r="D12" s="2481">
        <v>0</v>
      </c>
      <c r="E12" s="2481">
        <v>0</v>
      </c>
      <c r="F12" s="2481">
        <v>51380</v>
      </c>
      <c r="G12" s="2490">
        <v>80341.8</v>
      </c>
      <c r="H12" s="2490">
        <v>1834.2</v>
      </c>
      <c r="I12" s="2481">
        <v>462017</v>
      </c>
      <c r="J12" s="2481">
        <v>90921</v>
      </c>
      <c r="K12" s="2481">
        <v>330281</v>
      </c>
      <c r="L12" s="2481">
        <v>58873</v>
      </c>
      <c r="M12" s="2481">
        <v>123099</v>
      </c>
      <c r="N12" s="2481">
        <v>786029</v>
      </c>
      <c r="O12" s="2481">
        <v>237515</v>
      </c>
      <c r="P12" s="2481">
        <v>5625</v>
      </c>
      <c r="Q12" s="2484">
        <f>SUM(D12:P12)</f>
        <v>2227916</v>
      </c>
    </row>
    <row r="13" spans="1:17" ht="30.25" customHeight="1">
      <c r="A13" s="2472"/>
      <c r="B13" s="2472" t="s">
        <v>1410</v>
      </c>
      <c r="C13" s="2472"/>
      <c r="D13" s="2481">
        <v>2932</v>
      </c>
      <c r="E13" s="2481">
        <v>3594</v>
      </c>
      <c r="F13" s="2481">
        <v>99482</v>
      </c>
      <c r="G13" s="2490">
        <v>251372.79999999999</v>
      </c>
      <c r="H13" s="2490">
        <v>1834.2</v>
      </c>
      <c r="I13" s="2481">
        <v>2582003</v>
      </c>
      <c r="J13" s="2481">
        <v>510579</v>
      </c>
      <c r="K13" s="2481">
        <v>1187096</v>
      </c>
      <c r="L13" s="2481">
        <v>212773</v>
      </c>
      <c r="M13" s="2481">
        <v>799048</v>
      </c>
      <c r="N13" s="2481">
        <v>5115836</v>
      </c>
      <c r="O13" s="2481">
        <v>1410748</v>
      </c>
      <c r="P13" s="2481">
        <v>36875</v>
      </c>
      <c r="Q13" s="2484">
        <f>SUM(D13:P13)</f>
        <v>12214173</v>
      </c>
    </row>
    <row r="14" spans="1:17" ht="30.25" customHeight="1">
      <c r="A14" s="2472" t="s">
        <v>1411</v>
      </c>
      <c r="B14" s="2472"/>
      <c r="C14" s="2472"/>
      <c r="D14" s="2491">
        <v>22000</v>
      </c>
      <c r="E14" s="2491">
        <v>30000</v>
      </c>
      <c r="F14" s="2491">
        <v>30000</v>
      </c>
      <c r="G14" s="2491">
        <v>32250</v>
      </c>
      <c r="H14" s="2491">
        <v>540</v>
      </c>
      <c r="I14" s="2491">
        <v>86400</v>
      </c>
      <c r="J14" s="2491">
        <v>14200</v>
      </c>
      <c r="K14" s="2491">
        <v>100000</v>
      </c>
      <c r="L14" s="2491">
        <v>18000</v>
      </c>
      <c r="M14" s="2491">
        <v>3500</v>
      </c>
      <c r="N14" s="2491">
        <v>50000</v>
      </c>
      <c r="O14" s="2491">
        <v>10000</v>
      </c>
      <c r="P14" s="2491">
        <v>300</v>
      </c>
      <c r="Q14" s="2479">
        <f>SUM(D14:P14)</f>
        <v>397190</v>
      </c>
    </row>
    <row r="15" spans="1:17" ht="30.25" customHeight="1">
      <c r="A15" s="2472" t="s">
        <v>1412</v>
      </c>
      <c r="B15" s="2472"/>
      <c r="C15" s="2472"/>
      <c r="D15" s="2492">
        <v>4.0470909090909091</v>
      </c>
      <c r="E15" s="2492">
        <v>7.0682333333333336</v>
      </c>
      <c r="F15" s="2492">
        <v>8.564233333333334</v>
      </c>
      <c r="G15" s="2492">
        <v>18.713364341085271</v>
      </c>
      <c r="H15" s="2492">
        <v>18.646296296296295</v>
      </c>
      <c r="I15" s="2492">
        <v>52.745694444444446</v>
      </c>
      <c r="J15" s="2492">
        <v>64.640845070422529</v>
      </c>
      <c r="K15" s="2492">
        <v>26.7911</v>
      </c>
      <c r="L15" s="2492">
        <v>26.579888888888888</v>
      </c>
      <c r="M15" s="2492">
        <v>388.52800000000002</v>
      </c>
      <c r="N15" s="2492">
        <v>173.97200000000001</v>
      </c>
      <c r="O15" s="2492">
        <v>275.59980000000002</v>
      </c>
      <c r="P15" s="2492">
        <v>208.33333333333334</v>
      </c>
      <c r="Q15" s="2493">
        <v>57.1</v>
      </c>
    </row>
    <row r="16" spans="1:17" ht="30.25" customHeight="1">
      <c r="A16" s="2472" t="s">
        <v>1413</v>
      </c>
      <c r="B16" s="2472" t="s">
        <v>1414</v>
      </c>
      <c r="C16" s="2472"/>
      <c r="D16" s="2477" t="s">
        <v>1415</v>
      </c>
      <c r="E16" s="2477" t="s">
        <v>1416</v>
      </c>
      <c r="F16" s="2477" t="s">
        <v>1417</v>
      </c>
      <c r="G16" s="2478" t="s">
        <v>1415</v>
      </c>
      <c r="H16" s="2478"/>
      <c r="I16" s="2477" t="s">
        <v>1417</v>
      </c>
      <c r="J16" s="2477" t="s">
        <v>1417</v>
      </c>
      <c r="K16" s="2478" t="s">
        <v>1418</v>
      </c>
      <c r="L16" s="2478"/>
      <c r="M16" s="2477" t="s">
        <v>1417</v>
      </c>
      <c r="N16" s="2477" t="s">
        <v>1417</v>
      </c>
      <c r="O16" s="2477" t="s">
        <v>1417</v>
      </c>
      <c r="P16" s="2477" t="s">
        <v>1417</v>
      </c>
      <c r="Q16" s="2479"/>
    </row>
    <row r="17" spans="1:17" ht="30.25" customHeight="1">
      <c r="A17" s="2472"/>
      <c r="B17" s="2472" t="s">
        <v>1419</v>
      </c>
      <c r="C17" s="2472"/>
      <c r="D17" s="2492">
        <v>83</v>
      </c>
      <c r="E17" s="2492">
        <v>41.8</v>
      </c>
      <c r="F17" s="2492">
        <v>84.3</v>
      </c>
      <c r="G17" s="2494">
        <v>59</v>
      </c>
      <c r="H17" s="2494"/>
      <c r="I17" s="2492">
        <v>60</v>
      </c>
      <c r="J17" s="2492">
        <v>51.3</v>
      </c>
      <c r="K17" s="2494">
        <v>107</v>
      </c>
      <c r="L17" s="2494"/>
      <c r="M17" s="2492">
        <v>59.2</v>
      </c>
      <c r="N17" s="2492">
        <v>72</v>
      </c>
      <c r="O17" s="2492">
        <v>81</v>
      </c>
      <c r="P17" s="2492">
        <v>38</v>
      </c>
      <c r="Q17" s="2493"/>
    </row>
    <row r="18" spans="1:17" ht="30.25" customHeight="1">
      <c r="A18" s="2472"/>
      <c r="B18" s="2472" t="s">
        <v>1420</v>
      </c>
      <c r="C18" s="2472"/>
      <c r="D18" s="2492">
        <v>211.16</v>
      </c>
      <c r="E18" s="2492">
        <v>149.69999999999999</v>
      </c>
      <c r="F18" s="2492">
        <v>165</v>
      </c>
      <c r="G18" s="2494">
        <v>170</v>
      </c>
      <c r="H18" s="2494"/>
      <c r="I18" s="2492">
        <v>180.8</v>
      </c>
      <c r="J18" s="2492">
        <v>265</v>
      </c>
      <c r="K18" s="2494">
        <v>348</v>
      </c>
      <c r="L18" s="2494"/>
      <c r="M18" s="2492">
        <v>250</v>
      </c>
      <c r="N18" s="2492">
        <v>297.5</v>
      </c>
      <c r="O18" s="2492">
        <v>238</v>
      </c>
      <c r="P18" s="2492">
        <v>177</v>
      </c>
      <c r="Q18" s="2493"/>
    </row>
    <row r="19" spans="1:17" ht="30.25" customHeight="1">
      <c r="A19" s="2472"/>
      <c r="B19" s="2472" t="s">
        <v>1421</v>
      </c>
      <c r="C19" s="2472"/>
      <c r="D19" s="2491">
        <v>10000</v>
      </c>
      <c r="E19" s="2491">
        <v>3242</v>
      </c>
      <c r="F19" s="2491">
        <v>5400</v>
      </c>
      <c r="G19" s="2495">
        <v>3300</v>
      </c>
      <c r="H19" s="2495"/>
      <c r="I19" s="2491">
        <v>6400</v>
      </c>
      <c r="J19" s="2491">
        <v>1600</v>
      </c>
      <c r="K19" s="2495">
        <v>28900</v>
      </c>
      <c r="L19" s="2495"/>
      <c r="M19" s="2491">
        <v>1310</v>
      </c>
      <c r="N19" s="2491">
        <v>8300</v>
      </c>
      <c r="O19" s="2491">
        <v>2120</v>
      </c>
      <c r="P19" s="2491">
        <v>195</v>
      </c>
      <c r="Q19" s="2479">
        <f>SUM(D19:P19)</f>
        <v>70767</v>
      </c>
    </row>
    <row r="20" spans="1:17" ht="30.25" customHeight="1">
      <c r="A20" s="2472"/>
      <c r="B20" s="2472" t="s">
        <v>1422</v>
      </c>
      <c r="C20" s="2472"/>
      <c r="D20" s="2491">
        <v>300</v>
      </c>
      <c r="E20" s="2491"/>
      <c r="F20" s="2491">
        <v>1300</v>
      </c>
      <c r="G20" s="2495">
        <v>600</v>
      </c>
      <c r="H20" s="2495"/>
      <c r="I20" s="2491">
        <v>1800</v>
      </c>
      <c r="J20" s="2491">
        <v>400</v>
      </c>
      <c r="K20" s="2495">
        <v>1800</v>
      </c>
      <c r="L20" s="2495"/>
      <c r="M20" s="2491">
        <v>100</v>
      </c>
      <c r="N20" s="2491">
        <v>3500</v>
      </c>
      <c r="O20" s="2491">
        <v>500</v>
      </c>
      <c r="P20" s="2492">
        <v>7.8</v>
      </c>
      <c r="Q20" s="2479">
        <f>SUM(D20:P20)</f>
        <v>10307.799999999999</v>
      </c>
    </row>
    <row r="21" spans="1:17" ht="30.25" customHeight="1">
      <c r="A21" s="2496" t="s">
        <v>1423</v>
      </c>
      <c r="B21" s="2470"/>
      <c r="C21" s="2470"/>
    </row>
  </sheetData>
  <mergeCells count="38">
    <mergeCell ref="B19:C19"/>
    <mergeCell ref="G19:H19"/>
    <mergeCell ref="K19:L19"/>
    <mergeCell ref="B20:C20"/>
    <mergeCell ref="G20:H20"/>
    <mergeCell ref="K20:L20"/>
    <mergeCell ref="A16:A20"/>
    <mergeCell ref="B16:C16"/>
    <mergeCell ref="G16:H16"/>
    <mergeCell ref="K16:L16"/>
    <mergeCell ref="B17:C17"/>
    <mergeCell ref="G17:H17"/>
    <mergeCell ref="K17:L17"/>
    <mergeCell ref="B18:C18"/>
    <mergeCell ref="G18:H18"/>
    <mergeCell ref="K18:L18"/>
    <mergeCell ref="A11:A13"/>
    <mergeCell ref="B11:C11"/>
    <mergeCell ref="B12:C12"/>
    <mergeCell ref="B13:C13"/>
    <mergeCell ref="A14:C14"/>
    <mergeCell ref="A15:C15"/>
    <mergeCell ref="B7:C7"/>
    <mergeCell ref="G7:H7"/>
    <mergeCell ref="K7:L7"/>
    <mergeCell ref="A8:C8"/>
    <mergeCell ref="A9:C9"/>
    <mergeCell ref="A10:C10"/>
    <mergeCell ref="A4:C4"/>
    <mergeCell ref="G4:H4"/>
    <mergeCell ref="K4:L4"/>
    <mergeCell ref="A5:A7"/>
    <mergeCell ref="B5:C5"/>
    <mergeCell ref="G5:H5"/>
    <mergeCell ref="K5:L5"/>
    <mergeCell ref="B6:C6"/>
    <mergeCell ref="G6:H6"/>
    <mergeCell ref="K6:L6"/>
  </mergeCells>
  <phoneticPr fontId="6"/>
  <printOptions horizontalCentered="1" gridLinesSet="0"/>
  <pageMargins left="0.78740157480314965" right="0.19685039370078741" top="0.59055118110236227" bottom="0.59055118110236227" header="0.78740157480314965" footer="0.78740157480314965"/>
  <pageSetup paperSize="9" scale="80" orientation="portrait" horizontalDpi="300" verticalDpi="30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47A3C-CA6A-44F2-89EC-0041A05F3829}">
  <dimension ref="A1:B19"/>
  <sheetViews>
    <sheetView view="pageBreakPreview" zoomScaleNormal="75" zoomScaleSheetLayoutView="100" workbookViewId="0">
      <selection sqref="A1:B1"/>
    </sheetView>
  </sheetViews>
  <sheetFormatPr defaultColWidth="9" defaultRowHeight="36" customHeight="1"/>
  <cols>
    <col min="1" max="1" width="9" style="2499"/>
    <col min="2" max="2" width="59" style="2505" customWidth="1"/>
    <col min="3" max="16384" width="9" style="2499"/>
  </cols>
  <sheetData>
    <row r="1" spans="1:2" ht="36" customHeight="1">
      <c r="A1" s="2498" t="s">
        <v>2400</v>
      </c>
      <c r="B1" s="2498"/>
    </row>
    <row r="3" spans="1:2" ht="36" customHeight="1">
      <c r="A3" s="2499" t="s">
        <v>1424</v>
      </c>
      <c r="B3" s="2499"/>
    </row>
    <row r="4" spans="1:2" ht="36" customHeight="1">
      <c r="A4" s="2500" t="s">
        <v>496</v>
      </c>
      <c r="B4" s="2501" t="s">
        <v>497</v>
      </c>
    </row>
    <row r="5" spans="1:2" ht="36" customHeight="1">
      <c r="A5" s="2502">
        <v>502</v>
      </c>
      <c r="B5" s="2503" t="s">
        <v>517</v>
      </c>
    </row>
    <row r="6" spans="1:2" ht="36" customHeight="1">
      <c r="A6" s="2502">
        <v>504</v>
      </c>
      <c r="B6" s="2503" t="s">
        <v>513</v>
      </c>
    </row>
    <row r="7" spans="1:2" ht="36" customHeight="1">
      <c r="A7" s="2502"/>
      <c r="B7" s="2502" t="s">
        <v>1425</v>
      </c>
    </row>
    <row r="8" spans="1:2" ht="36" customHeight="1">
      <c r="B8" s="2504"/>
    </row>
    <row r="9" spans="1:2" ht="36" customHeight="1">
      <c r="A9" s="2499" t="s">
        <v>1426</v>
      </c>
      <c r="B9" s="2499"/>
    </row>
    <row r="10" spans="1:2" ht="36" customHeight="1">
      <c r="A10" s="2500" t="s">
        <v>496</v>
      </c>
      <c r="B10" s="2501" t="s">
        <v>497</v>
      </c>
    </row>
    <row r="11" spans="1:2" ht="36" customHeight="1">
      <c r="A11" s="2502">
        <v>1</v>
      </c>
      <c r="B11" s="2503" t="s">
        <v>760</v>
      </c>
    </row>
    <row r="12" spans="1:2" ht="36" customHeight="1">
      <c r="A12" s="2502">
        <v>3</v>
      </c>
      <c r="B12" s="2503" t="s">
        <v>705</v>
      </c>
    </row>
    <row r="13" spans="1:2" ht="36" customHeight="1">
      <c r="A13" s="2502">
        <v>4</v>
      </c>
      <c r="B13" s="2503" t="s">
        <v>747</v>
      </c>
    </row>
    <row r="14" spans="1:2" ht="36" customHeight="1">
      <c r="A14" s="2502">
        <v>10</v>
      </c>
      <c r="B14" s="2503" t="s">
        <v>761</v>
      </c>
    </row>
    <row r="15" spans="1:2" ht="36" customHeight="1">
      <c r="A15" s="2502">
        <v>35</v>
      </c>
      <c r="B15" s="2503" t="s">
        <v>726</v>
      </c>
    </row>
    <row r="16" spans="1:2" ht="36" customHeight="1">
      <c r="A16" s="2502">
        <v>46</v>
      </c>
      <c r="B16" s="2503" t="s">
        <v>752</v>
      </c>
    </row>
    <row r="17" spans="1:2" ht="36" customHeight="1">
      <c r="A17" s="2502">
        <v>57</v>
      </c>
      <c r="B17" s="2503" t="s">
        <v>517</v>
      </c>
    </row>
    <row r="18" spans="1:2" ht="36" customHeight="1">
      <c r="A18" s="2502">
        <v>70</v>
      </c>
      <c r="B18" s="2503" t="s">
        <v>738</v>
      </c>
    </row>
    <row r="19" spans="1:2" ht="36" customHeight="1">
      <c r="A19" s="2502"/>
      <c r="B19" s="2502" t="s">
        <v>1427</v>
      </c>
    </row>
  </sheetData>
  <mergeCells count="1">
    <mergeCell ref="A1:B1"/>
  </mergeCells>
  <phoneticPr fontId="6"/>
  <printOptions horizontalCentered="1"/>
  <pageMargins left="0.98425196850393704" right="0.59055118110236227" top="0.78740157480314965" bottom="0.78740157480314965" header="0.51181102362204722" footer="0.51181102362204722"/>
  <pageSetup paperSize="9" scale="110"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C41383-264E-41E6-8DD9-B0C7CAECB513}">
  <dimension ref="A1:L18"/>
  <sheetViews>
    <sheetView view="pageBreakPreview" zoomScaleNormal="75" zoomScaleSheetLayoutView="100" workbookViewId="0"/>
  </sheetViews>
  <sheetFormatPr defaultColWidth="9" defaultRowHeight="36" customHeight="1"/>
  <cols>
    <col min="1" max="1" width="37.6328125" style="2520" customWidth="1"/>
    <col min="2" max="2" width="18.6328125" style="2507" customWidth="1"/>
    <col min="3" max="4" width="9" style="2507"/>
    <col min="5" max="5" width="7.6328125" style="2507" customWidth="1"/>
    <col min="6" max="6" width="3.6328125" style="2507" customWidth="1"/>
    <col min="7" max="16384" width="9" style="2507"/>
  </cols>
  <sheetData>
    <row r="1" spans="1:12" ht="36" customHeight="1">
      <c r="A1" s="2506" t="s">
        <v>1428</v>
      </c>
    </row>
    <row r="3" spans="1:12" ht="36" customHeight="1">
      <c r="A3" s="2506" t="s">
        <v>1429</v>
      </c>
    </row>
    <row r="4" spans="1:12" ht="36" customHeight="1">
      <c r="A4" s="2508" t="s">
        <v>497</v>
      </c>
      <c r="B4" s="2509" t="s">
        <v>1430</v>
      </c>
      <c r="C4" s="2510"/>
      <c r="D4" s="2510"/>
      <c r="E4" s="2510"/>
      <c r="F4" s="2511"/>
    </row>
    <row r="5" spans="1:12" ht="36" customHeight="1">
      <c r="A5" s="2512" t="s">
        <v>1431</v>
      </c>
      <c r="B5" s="2513" t="s">
        <v>1432</v>
      </c>
      <c r="C5" s="2514"/>
      <c r="D5" s="2514"/>
      <c r="E5" s="2514"/>
      <c r="F5" s="2515"/>
    </row>
    <row r="6" spans="1:12" ht="36" customHeight="1">
      <c r="A6" s="2512" t="s">
        <v>1433</v>
      </c>
      <c r="B6" s="2513" t="s">
        <v>1434</v>
      </c>
      <c r="C6" s="2514"/>
      <c r="D6" s="2514"/>
      <c r="E6" s="2514"/>
      <c r="F6" s="2515"/>
      <c r="G6" s="2516"/>
      <c r="H6" s="2517"/>
      <c r="I6" s="2517"/>
      <c r="J6" s="2517"/>
      <c r="K6" s="2517"/>
      <c r="L6" s="2517"/>
    </row>
    <row r="7" spans="1:12" ht="36" customHeight="1">
      <c r="A7" s="2512" t="s">
        <v>699</v>
      </c>
      <c r="B7" s="2513" t="s">
        <v>1435</v>
      </c>
      <c r="C7" s="2514"/>
      <c r="D7" s="2514"/>
      <c r="E7" s="2514"/>
      <c r="F7" s="2515"/>
      <c r="G7" s="2518"/>
      <c r="H7" s="2519"/>
    </row>
    <row r="8" spans="1:12" ht="36" customHeight="1">
      <c r="A8" s="2512" t="s">
        <v>720</v>
      </c>
      <c r="B8" s="2513" t="s">
        <v>1436</v>
      </c>
      <c r="C8" s="2514"/>
      <c r="D8" s="2514"/>
      <c r="E8" s="2514"/>
      <c r="F8" s="2515"/>
      <c r="G8" s="2518"/>
      <c r="H8" s="2519"/>
    </row>
    <row r="9" spans="1:12" ht="36" customHeight="1">
      <c r="A9" s="2512" t="s">
        <v>1437</v>
      </c>
      <c r="B9" s="2513" t="s">
        <v>1438</v>
      </c>
      <c r="C9" s="2514"/>
      <c r="D9" s="2514"/>
      <c r="E9" s="2514"/>
      <c r="F9" s="2515"/>
      <c r="G9" s="2518"/>
      <c r="H9" s="2519"/>
    </row>
    <row r="10" spans="1:12" ht="36" customHeight="1">
      <c r="A10" s="2512" t="s">
        <v>734</v>
      </c>
      <c r="B10" s="2513" t="s">
        <v>1439</v>
      </c>
      <c r="C10" s="2514"/>
      <c r="D10" s="2514"/>
      <c r="E10" s="2514"/>
      <c r="F10" s="2515"/>
      <c r="G10" s="2518"/>
      <c r="H10" s="2519"/>
    </row>
    <row r="11" spans="1:12" ht="36" customHeight="1">
      <c r="A11" s="2512" t="s">
        <v>746</v>
      </c>
      <c r="B11" s="2513" t="s">
        <v>1440</v>
      </c>
      <c r="C11" s="2514"/>
      <c r="D11" s="2514"/>
      <c r="E11" s="2514"/>
      <c r="F11" s="2515"/>
      <c r="G11" s="2518"/>
      <c r="H11" s="2519"/>
    </row>
    <row r="12" spans="1:12" ht="36" customHeight="1">
      <c r="A12" s="2512" t="s">
        <v>1441</v>
      </c>
      <c r="B12" s="2513" t="s">
        <v>1442</v>
      </c>
      <c r="C12" s="2514"/>
      <c r="D12" s="2514"/>
      <c r="E12" s="2514"/>
      <c r="F12" s="2515"/>
      <c r="G12" s="2518"/>
      <c r="H12" s="2519"/>
    </row>
    <row r="13" spans="1:12" ht="36" customHeight="1">
      <c r="A13" s="2512" t="s">
        <v>760</v>
      </c>
      <c r="B13" s="2513" t="s">
        <v>1443</v>
      </c>
      <c r="C13" s="2514"/>
      <c r="D13" s="2514"/>
      <c r="E13" s="2514"/>
      <c r="F13" s="2515"/>
      <c r="G13" s="2518"/>
      <c r="H13" s="2519"/>
    </row>
    <row r="14" spans="1:12" ht="36" customHeight="1">
      <c r="A14" s="2512" t="s">
        <v>770</v>
      </c>
      <c r="B14" s="2513" t="s">
        <v>1444</v>
      </c>
      <c r="C14" s="2514"/>
      <c r="D14" s="2514"/>
      <c r="E14" s="2514"/>
      <c r="F14" s="2515"/>
      <c r="G14" s="2518"/>
      <c r="H14" s="2519"/>
    </row>
    <row r="15" spans="1:12" ht="36" customHeight="1">
      <c r="B15" s="2521"/>
    </row>
    <row r="16" spans="1:12" ht="36" customHeight="1">
      <c r="A16" s="2506" t="s">
        <v>1445</v>
      </c>
    </row>
    <row r="17" spans="1:6" ht="36" customHeight="1">
      <c r="A17" s="2508" t="s">
        <v>497</v>
      </c>
      <c r="B17" s="2522" t="s">
        <v>1446</v>
      </c>
      <c r="C17" s="2509" t="s">
        <v>1430</v>
      </c>
      <c r="D17" s="2510"/>
      <c r="E17" s="2510"/>
      <c r="F17" s="2511"/>
    </row>
    <row r="18" spans="1:6" ht="36" customHeight="1">
      <c r="A18" s="2512" t="s">
        <v>770</v>
      </c>
      <c r="B18" s="2523" t="s">
        <v>1447</v>
      </c>
      <c r="C18" s="2513" t="s">
        <v>1448</v>
      </c>
      <c r="D18" s="2514"/>
      <c r="E18" s="2514"/>
      <c r="F18" s="2515"/>
    </row>
  </sheetData>
  <mergeCells count="11">
    <mergeCell ref="G11:H11"/>
    <mergeCell ref="G12:H12"/>
    <mergeCell ref="G13:H13"/>
    <mergeCell ref="G14:H14"/>
    <mergeCell ref="C17:F17"/>
    <mergeCell ref="B4:F4"/>
    <mergeCell ref="G6:L6"/>
    <mergeCell ref="G7:H7"/>
    <mergeCell ref="G8:H8"/>
    <mergeCell ref="G9:H9"/>
    <mergeCell ref="G10:H10"/>
  </mergeCells>
  <phoneticPr fontId="6"/>
  <printOptions horizontalCentered="1"/>
  <pageMargins left="0.98425196850393704" right="0.59055118110236227" top="0.78740157480314965" bottom="0.78740157480314965" header="0.51181102362204722" footer="0.51181102362204722"/>
  <pageSetup paperSize="9"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AH79"/>
  <sheetViews>
    <sheetView view="pageBreakPreview" zoomScale="40" zoomScaleNormal="52" zoomScaleSheetLayoutView="40" workbookViewId="0"/>
  </sheetViews>
  <sheetFormatPr defaultColWidth="9" defaultRowHeight="21" customHeight="1"/>
  <cols>
    <col min="1" max="3" width="5.08984375" style="679" customWidth="1"/>
    <col min="4" max="4" width="17.6328125" style="679" customWidth="1"/>
    <col min="5" max="16" width="10.36328125" style="677" customWidth="1"/>
    <col min="17" max="17" width="14.08984375" style="677" customWidth="1"/>
    <col min="18" max="20" width="5.08984375" style="679" customWidth="1"/>
    <col min="21" max="21" width="17.7265625" style="679" customWidth="1"/>
    <col min="22" max="31" width="12.36328125" style="677" customWidth="1"/>
    <col min="32" max="32" width="15.36328125" style="677" customWidth="1"/>
    <col min="33" max="33" width="9" style="678"/>
    <col min="34" max="34" width="9" style="677"/>
    <col min="35" max="35" width="9" style="677" customWidth="1"/>
    <col min="36" max="37" width="9" style="677"/>
    <col min="38" max="38" width="9" style="677" customWidth="1"/>
    <col min="39" max="16384" width="9" style="677"/>
  </cols>
  <sheetData>
    <row r="1" spans="1:33" s="739" customFormat="1" ht="35.25" customHeight="1">
      <c r="A1" s="743" t="s">
        <v>1490</v>
      </c>
      <c r="B1" s="741"/>
      <c r="C1" s="741"/>
      <c r="D1" s="741"/>
      <c r="R1" s="742"/>
      <c r="S1" s="741"/>
      <c r="T1" s="741"/>
      <c r="U1" s="741"/>
      <c r="AG1" s="740"/>
    </row>
    <row r="2" spans="1:33" s="739" customFormat="1" ht="48" customHeight="1">
      <c r="A2" s="742"/>
      <c r="B2" s="978" t="s">
        <v>1489</v>
      </c>
      <c r="C2" s="978"/>
      <c r="D2" s="978"/>
      <c r="E2" s="978"/>
      <c r="F2" s="978"/>
      <c r="G2" s="978"/>
      <c r="H2" s="978"/>
      <c r="I2" s="978"/>
      <c r="J2" s="978"/>
      <c r="K2" s="978"/>
      <c r="L2" s="978"/>
      <c r="M2" s="978"/>
      <c r="N2" s="978"/>
      <c r="O2" s="978"/>
      <c r="P2" s="978"/>
      <c r="Q2" s="978"/>
      <c r="R2" s="742"/>
      <c r="S2" s="741"/>
      <c r="T2" s="741"/>
      <c r="U2" s="741"/>
      <c r="AG2" s="740"/>
    </row>
    <row r="3" spans="1:33" ht="28">
      <c r="A3" s="737" t="s">
        <v>2401</v>
      </c>
      <c r="E3" s="738"/>
      <c r="R3" s="737" t="s">
        <v>2402</v>
      </c>
    </row>
    <row r="4" spans="1:33" ht="11.25" customHeight="1" thickBot="1">
      <c r="A4" s="736"/>
      <c r="R4" s="736"/>
    </row>
    <row r="5" spans="1:33" ht="21" customHeight="1" thickBot="1">
      <c r="A5" s="979" t="s">
        <v>1476</v>
      </c>
      <c r="B5" s="980"/>
      <c r="C5" s="981"/>
      <c r="D5" s="982"/>
      <c r="E5" s="734" t="s">
        <v>1488</v>
      </c>
      <c r="F5" s="734" t="s">
        <v>1487</v>
      </c>
      <c r="G5" s="734" t="s">
        <v>1486</v>
      </c>
      <c r="H5" s="734" t="s">
        <v>1485</v>
      </c>
      <c r="I5" s="734" t="s">
        <v>1484</v>
      </c>
      <c r="J5" s="734" t="s">
        <v>1483</v>
      </c>
      <c r="K5" s="734" t="s">
        <v>1482</v>
      </c>
      <c r="L5" s="734" t="s">
        <v>1481</v>
      </c>
      <c r="M5" s="734" t="s">
        <v>1480</v>
      </c>
      <c r="N5" s="734" t="s">
        <v>1479</v>
      </c>
      <c r="O5" s="734" t="s">
        <v>1478</v>
      </c>
      <c r="P5" s="733" t="s">
        <v>1477</v>
      </c>
      <c r="Q5" s="732" t="s">
        <v>1474</v>
      </c>
      <c r="R5" s="979" t="s">
        <v>1476</v>
      </c>
      <c r="S5" s="980"/>
      <c r="T5" s="981"/>
      <c r="U5" s="982"/>
      <c r="V5" s="734" t="s">
        <v>1054</v>
      </c>
      <c r="W5" s="734" t="s">
        <v>704</v>
      </c>
      <c r="X5" s="734" t="s">
        <v>1095</v>
      </c>
      <c r="Y5" s="734" t="s">
        <v>512</v>
      </c>
      <c r="Z5" s="734" t="s">
        <v>737</v>
      </c>
      <c r="AA5" s="734" t="s">
        <v>1143</v>
      </c>
      <c r="AB5" s="734" t="s">
        <v>1475</v>
      </c>
      <c r="AC5" s="735" t="s">
        <v>520</v>
      </c>
      <c r="AD5" s="734" t="s">
        <v>1174</v>
      </c>
      <c r="AE5" s="733" t="s">
        <v>1217</v>
      </c>
      <c r="AF5" s="732" t="s">
        <v>1474</v>
      </c>
    </row>
    <row r="6" spans="1:33" ht="21" customHeight="1">
      <c r="A6" s="983" t="s">
        <v>1473</v>
      </c>
      <c r="B6" s="983" t="s">
        <v>1470</v>
      </c>
      <c r="C6" s="983" t="s">
        <v>1469</v>
      </c>
      <c r="D6" s="698" t="s">
        <v>1461</v>
      </c>
      <c r="E6" s="729">
        <v>24</v>
      </c>
      <c r="F6" s="729">
        <v>48</v>
      </c>
      <c r="G6" s="729">
        <v>113</v>
      </c>
      <c r="H6" s="729">
        <v>90</v>
      </c>
      <c r="I6" s="729">
        <v>63</v>
      </c>
      <c r="J6" s="729">
        <v>91</v>
      </c>
      <c r="K6" s="729">
        <v>83</v>
      </c>
      <c r="L6" s="729">
        <v>29</v>
      </c>
      <c r="M6" s="729">
        <v>7</v>
      </c>
      <c r="N6" s="729">
        <v>2</v>
      </c>
      <c r="O6" s="729">
        <v>0</v>
      </c>
      <c r="P6" s="728">
        <v>0</v>
      </c>
      <c r="Q6" s="708">
        <v>550</v>
      </c>
      <c r="R6" s="983" t="s">
        <v>1473</v>
      </c>
      <c r="S6" s="983" t="s">
        <v>1470</v>
      </c>
      <c r="T6" s="983" t="s">
        <v>1469</v>
      </c>
      <c r="U6" s="698" t="s">
        <v>1461</v>
      </c>
      <c r="V6" s="729">
        <v>126</v>
      </c>
      <c r="W6" s="729">
        <v>43</v>
      </c>
      <c r="X6" s="729">
        <v>129</v>
      </c>
      <c r="Y6" s="729">
        <v>62</v>
      </c>
      <c r="Z6" s="729">
        <v>47</v>
      </c>
      <c r="AA6" s="729">
        <v>0</v>
      </c>
      <c r="AB6" s="729">
        <v>32</v>
      </c>
      <c r="AC6" s="729">
        <v>12</v>
      </c>
      <c r="AD6" s="729">
        <v>29</v>
      </c>
      <c r="AE6" s="728">
        <v>70</v>
      </c>
      <c r="AF6" s="708">
        <v>550</v>
      </c>
      <c r="AG6" s="678" t="s">
        <v>1456</v>
      </c>
    </row>
    <row r="7" spans="1:33" ht="21" customHeight="1">
      <c r="A7" s="984"/>
      <c r="B7" s="984"/>
      <c r="C7" s="984"/>
      <c r="D7" s="697" t="s">
        <v>1460</v>
      </c>
      <c r="E7" s="688">
        <v>1</v>
      </c>
      <c r="F7" s="688">
        <v>25</v>
      </c>
      <c r="G7" s="688">
        <v>12</v>
      </c>
      <c r="H7" s="688">
        <v>13</v>
      </c>
      <c r="I7" s="688">
        <v>1</v>
      </c>
      <c r="J7" s="688">
        <v>14</v>
      </c>
      <c r="K7" s="688">
        <v>13</v>
      </c>
      <c r="L7" s="688">
        <v>25</v>
      </c>
      <c r="M7" s="688">
        <v>13</v>
      </c>
      <c r="N7" s="688">
        <v>1</v>
      </c>
      <c r="O7" s="688">
        <v>1</v>
      </c>
      <c r="P7" s="687">
        <v>13</v>
      </c>
      <c r="Q7" s="715">
        <v>132</v>
      </c>
      <c r="R7" s="984"/>
      <c r="S7" s="984"/>
      <c r="T7" s="984"/>
      <c r="U7" s="697" t="s">
        <v>1460</v>
      </c>
      <c r="V7" s="688">
        <v>0</v>
      </c>
      <c r="W7" s="688">
        <v>0</v>
      </c>
      <c r="X7" s="688">
        <v>16</v>
      </c>
      <c r="Y7" s="688">
        <v>0</v>
      </c>
      <c r="Z7" s="688">
        <v>0</v>
      </c>
      <c r="AA7" s="688">
        <v>0</v>
      </c>
      <c r="AB7" s="688">
        <v>116</v>
      </c>
      <c r="AC7" s="688">
        <v>0</v>
      </c>
      <c r="AD7" s="688">
        <v>0</v>
      </c>
      <c r="AE7" s="687">
        <v>0</v>
      </c>
      <c r="AF7" s="715">
        <v>132</v>
      </c>
      <c r="AG7" s="678" t="s">
        <v>1456</v>
      </c>
    </row>
    <row r="8" spans="1:33" ht="21" customHeight="1" thickBot="1">
      <c r="A8" s="984"/>
      <c r="B8" s="984"/>
      <c r="C8" s="984"/>
      <c r="D8" s="695" t="s">
        <v>1459</v>
      </c>
      <c r="E8" s="727">
        <v>165</v>
      </c>
      <c r="F8" s="727">
        <v>189</v>
      </c>
      <c r="G8" s="727">
        <v>189</v>
      </c>
      <c r="H8" s="727">
        <v>223</v>
      </c>
      <c r="I8" s="727">
        <v>203</v>
      </c>
      <c r="J8" s="727">
        <v>182</v>
      </c>
      <c r="K8" s="727">
        <v>187</v>
      </c>
      <c r="L8" s="727">
        <v>158</v>
      </c>
      <c r="M8" s="727">
        <v>153</v>
      </c>
      <c r="N8" s="727">
        <v>149</v>
      </c>
      <c r="O8" s="727">
        <v>148</v>
      </c>
      <c r="P8" s="726">
        <v>136</v>
      </c>
      <c r="Q8" s="692">
        <v>2082</v>
      </c>
      <c r="R8" s="984"/>
      <c r="S8" s="984"/>
      <c r="T8" s="984"/>
      <c r="U8" s="695" t="s">
        <v>1459</v>
      </c>
      <c r="V8" s="727">
        <v>893</v>
      </c>
      <c r="W8" s="727">
        <v>129</v>
      </c>
      <c r="X8" s="727">
        <v>514</v>
      </c>
      <c r="Y8" s="727">
        <v>0</v>
      </c>
      <c r="Z8" s="727">
        <v>141</v>
      </c>
      <c r="AA8" s="727">
        <v>26</v>
      </c>
      <c r="AB8" s="727">
        <v>95</v>
      </c>
      <c r="AC8" s="727">
        <v>33</v>
      </c>
      <c r="AD8" s="727">
        <v>132</v>
      </c>
      <c r="AE8" s="726">
        <v>119</v>
      </c>
      <c r="AF8" s="692">
        <v>2082</v>
      </c>
      <c r="AG8" s="678" t="s">
        <v>1456</v>
      </c>
    </row>
    <row r="9" spans="1:33" ht="21" customHeight="1" thickTop="1">
      <c r="A9" s="984"/>
      <c r="B9" s="984"/>
      <c r="C9" s="984"/>
      <c r="D9" s="690" t="s">
        <v>1458</v>
      </c>
      <c r="E9" s="689">
        <v>190</v>
      </c>
      <c r="F9" s="689">
        <v>262</v>
      </c>
      <c r="G9" s="689">
        <v>314</v>
      </c>
      <c r="H9" s="689">
        <v>326</v>
      </c>
      <c r="I9" s="689">
        <v>267</v>
      </c>
      <c r="J9" s="689">
        <v>287</v>
      </c>
      <c r="K9" s="689">
        <v>283</v>
      </c>
      <c r="L9" s="689">
        <v>212</v>
      </c>
      <c r="M9" s="689">
        <v>173</v>
      </c>
      <c r="N9" s="689">
        <v>152</v>
      </c>
      <c r="O9" s="689">
        <v>149</v>
      </c>
      <c r="P9" s="689">
        <v>149</v>
      </c>
      <c r="Q9" s="708">
        <v>2764</v>
      </c>
      <c r="R9" s="984"/>
      <c r="S9" s="984"/>
      <c r="T9" s="984"/>
      <c r="U9" s="690" t="s">
        <v>1458</v>
      </c>
      <c r="V9" s="689">
        <v>1019</v>
      </c>
      <c r="W9" s="689">
        <v>172</v>
      </c>
      <c r="X9" s="689">
        <v>659</v>
      </c>
      <c r="Y9" s="689">
        <v>62</v>
      </c>
      <c r="Z9" s="689">
        <v>188</v>
      </c>
      <c r="AA9" s="689">
        <v>26</v>
      </c>
      <c r="AB9" s="689">
        <v>243</v>
      </c>
      <c r="AC9" s="689">
        <v>45</v>
      </c>
      <c r="AD9" s="689">
        <v>161</v>
      </c>
      <c r="AE9" s="725">
        <v>189</v>
      </c>
      <c r="AF9" s="708">
        <v>2764</v>
      </c>
      <c r="AG9" s="678" t="s">
        <v>1456</v>
      </c>
    </row>
    <row r="10" spans="1:33" ht="21" customHeight="1" thickBot="1">
      <c r="A10" s="984"/>
      <c r="B10" s="984"/>
      <c r="C10" s="985"/>
      <c r="D10" s="684" t="s">
        <v>1457</v>
      </c>
      <c r="E10" s="704">
        <v>28</v>
      </c>
      <c r="F10" s="704">
        <v>35</v>
      </c>
      <c r="G10" s="704">
        <v>58</v>
      </c>
      <c r="H10" s="704">
        <v>65</v>
      </c>
      <c r="I10" s="704">
        <v>40</v>
      </c>
      <c r="J10" s="704">
        <v>65</v>
      </c>
      <c r="K10" s="704">
        <v>37</v>
      </c>
      <c r="L10" s="704">
        <v>24</v>
      </c>
      <c r="M10" s="704">
        <v>10</v>
      </c>
      <c r="N10" s="704">
        <v>14</v>
      </c>
      <c r="O10" s="704">
        <v>13</v>
      </c>
      <c r="P10" s="724">
        <v>17</v>
      </c>
      <c r="Q10" s="681">
        <v>406</v>
      </c>
      <c r="R10" s="984"/>
      <c r="S10" s="984"/>
      <c r="T10" s="985"/>
      <c r="U10" s="684" t="s">
        <v>1457</v>
      </c>
      <c r="V10" s="704">
        <v>73</v>
      </c>
      <c r="W10" s="704">
        <v>8</v>
      </c>
      <c r="X10" s="704">
        <v>71</v>
      </c>
      <c r="Y10" s="704">
        <v>19</v>
      </c>
      <c r="Z10" s="704">
        <v>53</v>
      </c>
      <c r="AA10" s="704">
        <v>0</v>
      </c>
      <c r="AB10" s="704">
        <v>68</v>
      </c>
      <c r="AC10" s="704">
        <v>0</v>
      </c>
      <c r="AD10" s="704">
        <v>80</v>
      </c>
      <c r="AE10" s="724">
        <v>34</v>
      </c>
      <c r="AF10" s="681">
        <v>406</v>
      </c>
      <c r="AG10" s="678" t="s">
        <v>1456</v>
      </c>
    </row>
    <row r="11" spans="1:33" ht="21" customHeight="1">
      <c r="A11" s="984"/>
      <c r="B11" s="984"/>
      <c r="C11" s="983" t="s">
        <v>1468</v>
      </c>
      <c r="D11" s="698" t="s">
        <v>1461</v>
      </c>
      <c r="E11" s="729">
        <v>2</v>
      </c>
      <c r="F11" s="729">
        <v>10</v>
      </c>
      <c r="G11" s="729">
        <v>30</v>
      </c>
      <c r="H11" s="729">
        <v>71</v>
      </c>
      <c r="I11" s="729">
        <v>30</v>
      </c>
      <c r="J11" s="729">
        <v>30</v>
      </c>
      <c r="K11" s="729">
        <v>68</v>
      </c>
      <c r="L11" s="729">
        <v>10</v>
      </c>
      <c r="M11" s="729">
        <v>2</v>
      </c>
      <c r="N11" s="729">
        <v>0</v>
      </c>
      <c r="O11" s="729">
        <v>0</v>
      </c>
      <c r="P11" s="728">
        <v>0</v>
      </c>
      <c r="Q11" s="708">
        <v>253</v>
      </c>
      <c r="R11" s="984"/>
      <c r="S11" s="984"/>
      <c r="T11" s="983" t="s">
        <v>1468</v>
      </c>
      <c r="U11" s="698" t="s">
        <v>1461</v>
      </c>
      <c r="V11" s="729">
        <v>61</v>
      </c>
      <c r="W11" s="729">
        <v>14</v>
      </c>
      <c r="X11" s="729">
        <v>21</v>
      </c>
      <c r="Y11" s="729">
        <v>35</v>
      </c>
      <c r="Z11" s="729">
        <v>67</v>
      </c>
      <c r="AA11" s="729">
        <v>0</v>
      </c>
      <c r="AB11" s="729">
        <v>11</v>
      </c>
      <c r="AC11" s="729">
        <v>2</v>
      </c>
      <c r="AD11" s="729">
        <v>4</v>
      </c>
      <c r="AE11" s="728">
        <v>38</v>
      </c>
      <c r="AF11" s="708">
        <v>253</v>
      </c>
      <c r="AG11" s="678" t="s">
        <v>1456</v>
      </c>
    </row>
    <row r="12" spans="1:33" ht="21" customHeight="1">
      <c r="A12" s="984"/>
      <c r="B12" s="984"/>
      <c r="C12" s="984"/>
      <c r="D12" s="697" t="s">
        <v>1460</v>
      </c>
      <c r="E12" s="688">
        <v>1</v>
      </c>
      <c r="F12" s="688">
        <v>19</v>
      </c>
      <c r="G12" s="688">
        <v>1</v>
      </c>
      <c r="H12" s="688">
        <v>0</v>
      </c>
      <c r="I12" s="688">
        <v>3</v>
      </c>
      <c r="J12" s="688">
        <v>10</v>
      </c>
      <c r="K12" s="688">
        <v>1</v>
      </c>
      <c r="L12" s="688">
        <v>1</v>
      </c>
      <c r="M12" s="688">
        <v>6</v>
      </c>
      <c r="N12" s="688">
        <v>0</v>
      </c>
      <c r="O12" s="688">
        <v>1</v>
      </c>
      <c r="P12" s="687">
        <v>1</v>
      </c>
      <c r="Q12" s="715">
        <v>44</v>
      </c>
      <c r="R12" s="984"/>
      <c r="S12" s="984"/>
      <c r="T12" s="984"/>
      <c r="U12" s="697" t="s">
        <v>1460</v>
      </c>
      <c r="V12" s="688">
        <v>0</v>
      </c>
      <c r="W12" s="688">
        <v>0</v>
      </c>
      <c r="X12" s="688">
        <v>0</v>
      </c>
      <c r="Y12" s="688">
        <v>0</v>
      </c>
      <c r="Z12" s="688">
        <v>10</v>
      </c>
      <c r="AA12" s="688">
        <v>12</v>
      </c>
      <c r="AB12" s="688">
        <v>5</v>
      </c>
      <c r="AC12" s="688">
        <v>17</v>
      </c>
      <c r="AD12" s="688">
        <v>0</v>
      </c>
      <c r="AE12" s="687">
        <v>0</v>
      </c>
      <c r="AF12" s="715">
        <v>44</v>
      </c>
      <c r="AG12" s="678" t="s">
        <v>1456</v>
      </c>
    </row>
    <row r="13" spans="1:33" ht="21" customHeight="1" thickBot="1">
      <c r="A13" s="984"/>
      <c r="B13" s="984"/>
      <c r="C13" s="984"/>
      <c r="D13" s="695" t="s">
        <v>1459</v>
      </c>
      <c r="E13" s="727">
        <v>92</v>
      </c>
      <c r="F13" s="727">
        <v>78</v>
      </c>
      <c r="G13" s="727">
        <v>71</v>
      </c>
      <c r="H13" s="727">
        <v>84</v>
      </c>
      <c r="I13" s="727">
        <v>101</v>
      </c>
      <c r="J13" s="727">
        <v>68</v>
      </c>
      <c r="K13" s="727">
        <v>131</v>
      </c>
      <c r="L13" s="727">
        <v>94</v>
      </c>
      <c r="M13" s="727">
        <v>65</v>
      </c>
      <c r="N13" s="727">
        <v>88</v>
      </c>
      <c r="O13" s="727">
        <v>66</v>
      </c>
      <c r="P13" s="726">
        <v>65</v>
      </c>
      <c r="Q13" s="692">
        <v>1003</v>
      </c>
      <c r="R13" s="984"/>
      <c r="S13" s="984"/>
      <c r="T13" s="984"/>
      <c r="U13" s="695" t="s">
        <v>1459</v>
      </c>
      <c r="V13" s="727">
        <v>163</v>
      </c>
      <c r="W13" s="727">
        <v>14</v>
      </c>
      <c r="X13" s="727">
        <v>76</v>
      </c>
      <c r="Y13" s="727">
        <v>0</v>
      </c>
      <c r="Z13" s="727">
        <v>231</v>
      </c>
      <c r="AA13" s="727">
        <v>392</v>
      </c>
      <c r="AB13" s="727">
        <v>47</v>
      </c>
      <c r="AC13" s="727">
        <v>41</v>
      </c>
      <c r="AD13" s="727">
        <v>0</v>
      </c>
      <c r="AE13" s="726">
        <v>39</v>
      </c>
      <c r="AF13" s="692">
        <v>1003</v>
      </c>
      <c r="AG13" s="678" t="s">
        <v>1456</v>
      </c>
    </row>
    <row r="14" spans="1:33" ht="21" customHeight="1" thickTop="1">
      <c r="A14" s="984"/>
      <c r="B14" s="984"/>
      <c r="C14" s="984"/>
      <c r="D14" s="690" t="s">
        <v>1458</v>
      </c>
      <c r="E14" s="689">
        <v>95</v>
      </c>
      <c r="F14" s="689">
        <v>107</v>
      </c>
      <c r="G14" s="689">
        <v>102</v>
      </c>
      <c r="H14" s="689">
        <v>155</v>
      </c>
      <c r="I14" s="689">
        <v>134</v>
      </c>
      <c r="J14" s="689">
        <v>108</v>
      </c>
      <c r="K14" s="689">
        <v>200</v>
      </c>
      <c r="L14" s="689">
        <v>105</v>
      </c>
      <c r="M14" s="689">
        <v>73</v>
      </c>
      <c r="N14" s="689">
        <v>88</v>
      </c>
      <c r="O14" s="689">
        <v>67</v>
      </c>
      <c r="P14" s="689">
        <v>66</v>
      </c>
      <c r="Q14" s="708">
        <v>1300</v>
      </c>
      <c r="R14" s="984"/>
      <c r="S14" s="984"/>
      <c r="T14" s="984"/>
      <c r="U14" s="690" t="s">
        <v>1458</v>
      </c>
      <c r="V14" s="689">
        <v>224</v>
      </c>
      <c r="W14" s="689">
        <v>28</v>
      </c>
      <c r="X14" s="689">
        <v>97</v>
      </c>
      <c r="Y14" s="689">
        <v>35</v>
      </c>
      <c r="Z14" s="689">
        <v>308</v>
      </c>
      <c r="AA14" s="689">
        <v>404</v>
      </c>
      <c r="AB14" s="689">
        <v>63</v>
      </c>
      <c r="AC14" s="689">
        <v>60</v>
      </c>
      <c r="AD14" s="689">
        <v>4</v>
      </c>
      <c r="AE14" s="725">
        <v>77</v>
      </c>
      <c r="AF14" s="708">
        <v>1300</v>
      </c>
      <c r="AG14" s="678" t="s">
        <v>1456</v>
      </c>
    </row>
    <row r="15" spans="1:33" ht="21" customHeight="1" thickBot="1">
      <c r="A15" s="984"/>
      <c r="B15" s="984"/>
      <c r="C15" s="985"/>
      <c r="D15" s="684" t="s">
        <v>1457</v>
      </c>
      <c r="E15" s="704">
        <v>8</v>
      </c>
      <c r="F15" s="704">
        <v>15</v>
      </c>
      <c r="G15" s="704">
        <v>22</v>
      </c>
      <c r="H15" s="704">
        <v>38</v>
      </c>
      <c r="I15" s="704">
        <v>26</v>
      </c>
      <c r="J15" s="704">
        <v>25</v>
      </c>
      <c r="K15" s="704">
        <v>45</v>
      </c>
      <c r="L15" s="704">
        <v>8</v>
      </c>
      <c r="M15" s="704">
        <v>5</v>
      </c>
      <c r="N15" s="704">
        <v>3</v>
      </c>
      <c r="O15" s="704">
        <v>4</v>
      </c>
      <c r="P15" s="724">
        <v>11</v>
      </c>
      <c r="Q15" s="681">
        <v>210</v>
      </c>
      <c r="R15" s="984"/>
      <c r="S15" s="984"/>
      <c r="T15" s="985"/>
      <c r="U15" s="684" t="s">
        <v>1457</v>
      </c>
      <c r="V15" s="704">
        <v>52</v>
      </c>
      <c r="W15" s="704">
        <v>13</v>
      </c>
      <c r="X15" s="704">
        <v>8</v>
      </c>
      <c r="Y15" s="704">
        <v>8</v>
      </c>
      <c r="Z15" s="704">
        <v>101</v>
      </c>
      <c r="AA15" s="704">
        <v>0</v>
      </c>
      <c r="AB15" s="704">
        <v>18</v>
      </c>
      <c r="AC15" s="704">
        <v>0</v>
      </c>
      <c r="AD15" s="704">
        <v>2</v>
      </c>
      <c r="AE15" s="724">
        <v>8</v>
      </c>
      <c r="AF15" s="681">
        <v>210</v>
      </c>
      <c r="AG15" s="678" t="s">
        <v>1456</v>
      </c>
    </row>
    <row r="16" spans="1:33" ht="21" customHeight="1">
      <c r="A16" s="984"/>
      <c r="B16" s="984"/>
      <c r="C16" s="986" t="s">
        <v>1467</v>
      </c>
      <c r="D16" s="723" t="s">
        <v>1461</v>
      </c>
      <c r="E16" s="688">
        <v>6</v>
      </c>
      <c r="F16" s="688">
        <v>11</v>
      </c>
      <c r="G16" s="688">
        <v>6</v>
      </c>
      <c r="H16" s="688">
        <v>10</v>
      </c>
      <c r="I16" s="688">
        <v>11</v>
      </c>
      <c r="J16" s="688">
        <v>8</v>
      </c>
      <c r="K16" s="688">
        <v>6</v>
      </c>
      <c r="L16" s="688">
        <v>4</v>
      </c>
      <c r="M16" s="688">
        <v>1</v>
      </c>
      <c r="N16" s="688">
        <v>1</v>
      </c>
      <c r="O16" s="688">
        <v>1</v>
      </c>
      <c r="P16" s="687">
        <v>1</v>
      </c>
      <c r="Q16" s="708">
        <v>66</v>
      </c>
      <c r="R16" s="984"/>
      <c r="S16" s="984"/>
      <c r="T16" s="986" t="s">
        <v>1467</v>
      </c>
      <c r="U16" s="723" t="s">
        <v>1461</v>
      </c>
      <c r="V16" s="688">
        <v>25</v>
      </c>
      <c r="W16" s="688">
        <v>3</v>
      </c>
      <c r="X16" s="688">
        <v>4</v>
      </c>
      <c r="Y16" s="688">
        <v>0</v>
      </c>
      <c r="Z16" s="688">
        <v>2</v>
      </c>
      <c r="AA16" s="688">
        <v>0</v>
      </c>
      <c r="AB16" s="688">
        <v>15</v>
      </c>
      <c r="AC16" s="688">
        <v>0</v>
      </c>
      <c r="AD16" s="688">
        <v>17</v>
      </c>
      <c r="AE16" s="687">
        <v>0</v>
      </c>
      <c r="AF16" s="708">
        <v>66</v>
      </c>
      <c r="AG16" s="678" t="s">
        <v>1456</v>
      </c>
    </row>
    <row r="17" spans="1:33" ht="21" customHeight="1">
      <c r="A17" s="984"/>
      <c r="B17" s="984"/>
      <c r="C17" s="984"/>
      <c r="D17" s="697" t="s">
        <v>1460</v>
      </c>
      <c r="E17" s="688">
        <v>2</v>
      </c>
      <c r="F17" s="688">
        <v>2</v>
      </c>
      <c r="G17" s="688">
        <v>2</v>
      </c>
      <c r="H17" s="688">
        <v>2</v>
      </c>
      <c r="I17" s="688">
        <v>1</v>
      </c>
      <c r="J17" s="688">
        <v>3</v>
      </c>
      <c r="K17" s="688">
        <v>2</v>
      </c>
      <c r="L17" s="688">
        <v>2</v>
      </c>
      <c r="M17" s="688">
        <v>2</v>
      </c>
      <c r="N17" s="688">
        <v>2</v>
      </c>
      <c r="O17" s="688">
        <v>2</v>
      </c>
      <c r="P17" s="687">
        <v>2</v>
      </c>
      <c r="Q17" s="715">
        <v>24</v>
      </c>
      <c r="R17" s="984"/>
      <c r="S17" s="984"/>
      <c r="T17" s="984"/>
      <c r="U17" s="697" t="s">
        <v>1460</v>
      </c>
      <c r="V17" s="688">
        <v>0</v>
      </c>
      <c r="W17" s="688">
        <v>0</v>
      </c>
      <c r="X17" s="688">
        <v>23</v>
      </c>
      <c r="Y17" s="688">
        <v>0</v>
      </c>
      <c r="Z17" s="688">
        <v>0</v>
      </c>
      <c r="AA17" s="688">
        <v>0</v>
      </c>
      <c r="AB17" s="688">
        <v>1</v>
      </c>
      <c r="AC17" s="688">
        <v>0</v>
      </c>
      <c r="AD17" s="688">
        <v>0</v>
      </c>
      <c r="AE17" s="687">
        <v>0</v>
      </c>
      <c r="AF17" s="715">
        <v>24</v>
      </c>
      <c r="AG17" s="678" t="s">
        <v>1456</v>
      </c>
    </row>
    <row r="18" spans="1:33" ht="21" customHeight="1" thickBot="1">
      <c r="A18" s="984"/>
      <c r="B18" s="984"/>
      <c r="C18" s="984"/>
      <c r="D18" s="695" t="s">
        <v>1459</v>
      </c>
      <c r="E18" s="727">
        <v>11</v>
      </c>
      <c r="F18" s="727">
        <v>9</v>
      </c>
      <c r="G18" s="727">
        <v>9</v>
      </c>
      <c r="H18" s="727">
        <v>18</v>
      </c>
      <c r="I18" s="727">
        <v>7</v>
      </c>
      <c r="J18" s="727">
        <v>7</v>
      </c>
      <c r="K18" s="727">
        <v>8</v>
      </c>
      <c r="L18" s="727">
        <v>8</v>
      </c>
      <c r="M18" s="727">
        <v>5</v>
      </c>
      <c r="N18" s="727">
        <v>14</v>
      </c>
      <c r="O18" s="727">
        <v>9</v>
      </c>
      <c r="P18" s="726">
        <v>6</v>
      </c>
      <c r="Q18" s="692">
        <v>111</v>
      </c>
      <c r="R18" s="984"/>
      <c r="S18" s="984"/>
      <c r="T18" s="984"/>
      <c r="U18" s="695" t="s">
        <v>1459</v>
      </c>
      <c r="V18" s="727">
        <v>30</v>
      </c>
      <c r="W18" s="727">
        <v>0</v>
      </c>
      <c r="X18" s="727">
        <v>3</v>
      </c>
      <c r="Y18" s="727">
        <v>0</v>
      </c>
      <c r="Z18" s="727">
        <v>0</v>
      </c>
      <c r="AA18" s="727">
        <v>0</v>
      </c>
      <c r="AB18" s="727">
        <v>32</v>
      </c>
      <c r="AC18" s="727">
        <v>0</v>
      </c>
      <c r="AD18" s="727">
        <v>46</v>
      </c>
      <c r="AE18" s="726">
        <v>0</v>
      </c>
      <c r="AF18" s="692">
        <v>111</v>
      </c>
      <c r="AG18" s="678" t="s">
        <v>1456</v>
      </c>
    </row>
    <row r="19" spans="1:33" ht="21" customHeight="1" thickTop="1">
      <c r="A19" s="984"/>
      <c r="B19" s="984"/>
      <c r="C19" s="984"/>
      <c r="D19" s="690" t="s">
        <v>1458</v>
      </c>
      <c r="E19" s="689">
        <v>19</v>
      </c>
      <c r="F19" s="689">
        <v>22</v>
      </c>
      <c r="G19" s="689">
        <v>17</v>
      </c>
      <c r="H19" s="689">
        <v>30</v>
      </c>
      <c r="I19" s="689">
        <v>19</v>
      </c>
      <c r="J19" s="689">
        <v>18</v>
      </c>
      <c r="K19" s="689">
        <v>16</v>
      </c>
      <c r="L19" s="689">
        <v>14</v>
      </c>
      <c r="M19" s="689">
        <v>8</v>
      </c>
      <c r="N19" s="689">
        <v>17</v>
      </c>
      <c r="O19" s="689">
        <v>12</v>
      </c>
      <c r="P19" s="689">
        <v>9</v>
      </c>
      <c r="Q19" s="708">
        <v>201</v>
      </c>
      <c r="R19" s="984"/>
      <c r="S19" s="984"/>
      <c r="T19" s="984"/>
      <c r="U19" s="690" t="s">
        <v>1458</v>
      </c>
      <c r="V19" s="689">
        <v>55</v>
      </c>
      <c r="W19" s="689">
        <v>3</v>
      </c>
      <c r="X19" s="689">
        <v>30</v>
      </c>
      <c r="Y19" s="689">
        <v>0</v>
      </c>
      <c r="Z19" s="689">
        <v>2</v>
      </c>
      <c r="AA19" s="689">
        <v>0</v>
      </c>
      <c r="AB19" s="689">
        <v>48</v>
      </c>
      <c r="AC19" s="689">
        <v>0</v>
      </c>
      <c r="AD19" s="689">
        <v>63</v>
      </c>
      <c r="AE19" s="725">
        <v>0</v>
      </c>
      <c r="AF19" s="708">
        <v>201</v>
      </c>
      <c r="AG19" s="678" t="s">
        <v>1456</v>
      </c>
    </row>
    <row r="20" spans="1:33" ht="21" customHeight="1" thickBot="1">
      <c r="A20" s="984"/>
      <c r="B20" s="984"/>
      <c r="C20" s="984"/>
      <c r="D20" s="719" t="s">
        <v>1457</v>
      </c>
      <c r="E20" s="731">
        <v>0</v>
      </c>
      <c r="F20" s="731">
        <v>0</v>
      </c>
      <c r="G20" s="731">
        <v>11</v>
      </c>
      <c r="H20" s="731">
        <v>1</v>
      </c>
      <c r="I20" s="731">
        <v>0</v>
      </c>
      <c r="J20" s="731">
        <v>1</v>
      </c>
      <c r="K20" s="731">
        <v>1</v>
      </c>
      <c r="L20" s="731">
        <v>0</v>
      </c>
      <c r="M20" s="731">
        <v>0</v>
      </c>
      <c r="N20" s="731">
        <v>1</v>
      </c>
      <c r="O20" s="731">
        <v>0</v>
      </c>
      <c r="P20" s="730">
        <v>0</v>
      </c>
      <c r="Q20" s="681">
        <v>15</v>
      </c>
      <c r="R20" s="984"/>
      <c r="S20" s="984"/>
      <c r="T20" s="984"/>
      <c r="U20" s="719" t="s">
        <v>1457</v>
      </c>
      <c r="V20" s="731">
        <v>10</v>
      </c>
      <c r="W20" s="731">
        <v>0</v>
      </c>
      <c r="X20" s="731">
        <v>5</v>
      </c>
      <c r="Y20" s="731">
        <v>0</v>
      </c>
      <c r="Z20" s="731">
        <v>0</v>
      </c>
      <c r="AA20" s="731">
        <v>0</v>
      </c>
      <c r="AB20" s="731">
        <v>0</v>
      </c>
      <c r="AC20" s="731">
        <v>0</v>
      </c>
      <c r="AD20" s="731">
        <v>0</v>
      </c>
      <c r="AE20" s="730">
        <v>0</v>
      </c>
      <c r="AF20" s="681">
        <v>15</v>
      </c>
      <c r="AG20" s="678" t="s">
        <v>1456</v>
      </c>
    </row>
    <row r="21" spans="1:33" ht="21" customHeight="1">
      <c r="A21" s="984"/>
      <c r="B21" s="984"/>
      <c r="C21" s="983" t="s">
        <v>1466</v>
      </c>
      <c r="D21" s="698" t="s">
        <v>1461</v>
      </c>
      <c r="E21" s="729">
        <v>1</v>
      </c>
      <c r="F21" s="729">
        <v>1</v>
      </c>
      <c r="G21" s="729">
        <v>1</v>
      </c>
      <c r="H21" s="729">
        <v>1</v>
      </c>
      <c r="I21" s="729">
        <v>4</v>
      </c>
      <c r="J21" s="729">
        <v>1</v>
      </c>
      <c r="K21" s="729">
        <v>1</v>
      </c>
      <c r="L21" s="729">
        <v>9</v>
      </c>
      <c r="M21" s="729">
        <v>1</v>
      </c>
      <c r="N21" s="729">
        <v>1</v>
      </c>
      <c r="O21" s="729">
        <v>3</v>
      </c>
      <c r="P21" s="728">
        <v>1</v>
      </c>
      <c r="Q21" s="708">
        <v>25</v>
      </c>
      <c r="R21" s="984"/>
      <c r="S21" s="984"/>
      <c r="T21" s="983" t="s">
        <v>1466</v>
      </c>
      <c r="U21" s="698" t="s">
        <v>1461</v>
      </c>
      <c r="V21" s="729">
        <v>13</v>
      </c>
      <c r="W21" s="729">
        <v>0</v>
      </c>
      <c r="X21" s="729">
        <v>0</v>
      </c>
      <c r="Y21" s="729">
        <v>12</v>
      </c>
      <c r="Z21" s="729">
        <v>0</v>
      </c>
      <c r="AA21" s="729">
        <v>0</v>
      </c>
      <c r="AB21" s="729">
        <v>0</v>
      </c>
      <c r="AC21" s="729">
        <v>0</v>
      </c>
      <c r="AD21" s="729">
        <v>0</v>
      </c>
      <c r="AE21" s="728">
        <v>0</v>
      </c>
      <c r="AF21" s="708">
        <v>25</v>
      </c>
      <c r="AG21" s="678" t="s">
        <v>1456</v>
      </c>
    </row>
    <row r="22" spans="1:33" ht="21" customHeight="1">
      <c r="A22" s="984"/>
      <c r="B22" s="984"/>
      <c r="C22" s="984"/>
      <c r="D22" s="697" t="s">
        <v>1460</v>
      </c>
      <c r="E22" s="688">
        <v>4</v>
      </c>
      <c r="F22" s="688">
        <v>4</v>
      </c>
      <c r="G22" s="688">
        <v>4</v>
      </c>
      <c r="H22" s="688">
        <v>4</v>
      </c>
      <c r="I22" s="688">
        <v>4</v>
      </c>
      <c r="J22" s="688">
        <v>4</v>
      </c>
      <c r="K22" s="688">
        <v>4</v>
      </c>
      <c r="L22" s="688">
        <v>4</v>
      </c>
      <c r="M22" s="688">
        <v>4</v>
      </c>
      <c r="N22" s="688">
        <v>4</v>
      </c>
      <c r="O22" s="688">
        <v>4</v>
      </c>
      <c r="P22" s="687">
        <v>4</v>
      </c>
      <c r="Q22" s="715">
        <v>48</v>
      </c>
      <c r="R22" s="984"/>
      <c r="S22" s="984"/>
      <c r="T22" s="984"/>
      <c r="U22" s="697" t="s">
        <v>1460</v>
      </c>
      <c r="V22" s="688">
        <v>0</v>
      </c>
      <c r="W22" s="688">
        <v>0</v>
      </c>
      <c r="X22" s="688">
        <v>0</v>
      </c>
      <c r="Y22" s="688">
        <v>48</v>
      </c>
      <c r="Z22" s="688">
        <v>0</v>
      </c>
      <c r="AA22" s="688">
        <v>0</v>
      </c>
      <c r="AB22" s="688">
        <v>0</v>
      </c>
      <c r="AC22" s="688">
        <v>0</v>
      </c>
      <c r="AD22" s="688">
        <v>0</v>
      </c>
      <c r="AE22" s="687">
        <v>0</v>
      </c>
      <c r="AF22" s="715">
        <v>48</v>
      </c>
      <c r="AG22" s="678" t="s">
        <v>1456</v>
      </c>
    </row>
    <row r="23" spans="1:33" ht="21" customHeight="1" thickBot="1">
      <c r="A23" s="984"/>
      <c r="B23" s="984"/>
      <c r="C23" s="984"/>
      <c r="D23" s="695" t="s">
        <v>1459</v>
      </c>
      <c r="E23" s="727">
        <v>1</v>
      </c>
      <c r="F23" s="727">
        <v>11</v>
      </c>
      <c r="G23" s="727">
        <v>1</v>
      </c>
      <c r="H23" s="727">
        <v>1</v>
      </c>
      <c r="I23" s="727">
        <v>11</v>
      </c>
      <c r="J23" s="727">
        <v>1</v>
      </c>
      <c r="K23" s="727">
        <v>1</v>
      </c>
      <c r="L23" s="727">
        <v>11</v>
      </c>
      <c r="M23" s="727">
        <v>1</v>
      </c>
      <c r="N23" s="727">
        <v>1</v>
      </c>
      <c r="O23" s="727">
        <v>11</v>
      </c>
      <c r="P23" s="726">
        <v>1</v>
      </c>
      <c r="Q23" s="692">
        <v>52</v>
      </c>
      <c r="R23" s="984"/>
      <c r="S23" s="984"/>
      <c r="T23" s="984"/>
      <c r="U23" s="695" t="s">
        <v>1459</v>
      </c>
      <c r="V23" s="727">
        <v>52</v>
      </c>
      <c r="W23" s="727">
        <v>0</v>
      </c>
      <c r="X23" s="727">
        <v>0</v>
      </c>
      <c r="Y23" s="727">
        <v>0</v>
      </c>
      <c r="Z23" s="727">
        <v>0</v>
      </c>
      <c r="AA23" s="727">
        <v>0</v>
      </c>
      <c r="AB23" s="727">
        <v>0</v>
      </c>
      <c r="AC23" s="727">
        <v>0</v>
      </c>
      <c r="AD23" s="727">
        <v>0</v>
      </c>
      <c r="AE23" s="726">
        <v>0</v>
      </c>
      <c r="AF23" s="692">
        <v>52</v>
      </c>
      <c r="AG23" s="678" t="s">
        <v>1456</v>
      </c>
    </row>
    <row r="24" spans="1:33" ht="21" customHeight="1" thickTop="1">
      <c r="A24" s="984"/>
      <c r="B24" s="984"/>
      <c r="C24" s="984"/>
      <c r="D24" s="690" t="s">
        <v>1458</v>
      </c>
      <c r="E24" s="689">
        <v>6</v>
      </c>
      <c r="F24" s="689">
        <v>16</v>
      </c>
      <c r="G24" s="689">
        <v>6</v>
      </c>
      <c r="H24" s="689">
        <v>6</v>
      </c>
      <c r="I24" s="689">
        <v>19</v>
      </c>
      <c r="J24" s="689">
        <v>6</v>
      </c>
      <c r="K24" s="689">
        <v>6</v>
      </c>
      <c r="L24" s="689">
        <v>24</v>
      </c>
      <c r="M24" s="689">
        <v>6</v>
      </c>
      <c r="N24" s="689">
        <v>6</v>
      </c>
      <c r="O24" s="689">
        <v>18</v>
      </c>
      <c r="P24" s="689">
        <v>6</v>
      </c>
      <c r="Q24" s="708">
        <v>125</v>
      </c>
      <c r="R24" s="984"/>
      <c r="S24" s="984"/>
      <c r="T24" s="984"/>
      <c r="U24" s="690" t="s">
        <v>1458</v>
      </c>
      <c r="V24" s="689">
        <v>65</v>
      </c>
      <c r="W24" s="689">
        <v>0</v>
      </c>
      <c r="X24" s="689">
        <v>0</v>
      </c>
      <c r="Y24" s="689">
        <v>60</v>
      </c>
      <c r="Z24" s="689">
        <v>0</v>
      </c>
      <c r="AA24" s="689">
        <v>0</v>
      </c>
      <c r="AB24" s="689">
        <v>0</v>
      </c>
      <c r="AC24" s="689">
        <v>0</v>
      </c>
      <c r="AD24" s="689">
        <v>0</v>
      </c>
      <c r="AE24" s="725">
        <v>0</v>
      </c>
      <c r="AF24" s="708">
        <v>125</v>
      </c>
      <c r="AG24" s="678" t="s">
        <v>1456</v>
      </c>
    </row>
    <row r="25" spans="1:33" ht="21" customHeight="1" thickBot="1">
      <c r="A25" s="984"/>
      <c r="B25" s="985"/>
      <c r="C25" s="985"/>
      <c r="D25" s="684" t="s">
        <v>1457</v>
      </c>
      <c r="E25" s="704">
        <v>2</v>
      </c>
      <c r="F25" s="704">
        <v>1</v>
      </c>
      <c r="G25" s="704">
        <v>1</v>
      </c>
      <c r="H25" s="704">
        <v>2</v>
      </c>
      <c r="I25" s="704">
        <v>2</v>
      </c>
      <c r="J25" s="704">
        <v>2</v>
      </c>
      <c r="K25" s="704">
        <v>2</v>
      </c>
      <c r="L25" s="704">
        <v>2</v>
      </c>
      <c r="M25" s="704">
        <v>1</v>
      </c>
      <c r="N25" s="704">
        <v>3</v>
      </c>
      <c r="O25" s="704">
        <v>3</v>
      </c>
      <c r="P25" s="724">
        <v>2</v>
      </c>
      <c r="Q25" s="681">
        <v>23</v>
      </c>
      <c r="R25" s="984"/>
      <c r="S25" s="985"/>
      <c r="T25" s="985"/>
      <c r="U25" s="684" t="s">
        <v>1457</v>
      </c>
      <c r="V25" s="704">
        <v>0</v>
      </c>
      <c r="W25" s="704">
        <v>0</v>
      </c>
      <c r="X25" s="704">
        <v>0</v>
      </c>
      <c r="Y25" s="704">
        <v>23</v>
      </c>
      <c r="Z25" s="704">
        <v>0</v>
      </c>
      <c r="AA25" s="704">
        <v>0</v>
      </c>
      <c r="AB25" s="704">
        <v>0</v>
      </c>
      <c r="AC25" s="704">
        <v>0</v>
      </c>
      <c r="AD25" s="704">
        <v>0</v>
      </c>
      <c r="AE25" s="724">
        <v>0</v>
      </c>
      <c r="AF25" s="681">
        <v>23</v>
      </c>
      <c r="AG25" s="678" t="s">
        <v>1456</v>
      </c>
    </row>
    <row r="26" spans="1:33" ht="21" customHeight="1">
      <c r="A26" s="984"/>
      <c r="B26" s="986" t="s">
        <v>1465</v>
      </c>
      <c r="C26" s="987" t="s">
        <v>1464</v>
      </c>
      <c r="D26" s="723" t="s">
        <v>1461</v>
      </c>
      <c r="E26" s="688">
        <v>0</v>
      </c>
      <c r="F26" s="688">
        <v>0</v>
      </c>
      <c r="G26" s="688">
        <v>0</v>
      </c>
      <c r="H26" s="688">
        <v>2</v>
      </c>
      <c r="I26" s="688">
        <v>2</v>
      </c>
      <c r="J26" s="688">
        <v>5</v>
      </c>
      <c r="K26" s="688">
        <v>4</v>
      </c>
      <c r="L26" s="688">
        <v>0</v>
      </c>
      <c r="M26" s="688">
        <v>0</v>
      </c>
      <c r="N26" s="688">
        <v>0</v>
      </c>
      <c r="O26" s="688">
        <v>0</v>
      </c>
      <c r="P26" s="688">
        <v>0</v>
      </c>
      <c r="Q26" s="708">
        <v>13</v>
      </c>
      <c r="R26" s="984"/>
      <c r="S26" s="986" t="s">
        <v>1465</v>
      </c>
      <c r="T26" s="987" t="s">
        <v>1464</v>
      </c>
      <c r="U26" s="723" t="s">
        <v>1461</v>
      </c>
      <c r="V26" s="688">
        <v>2</v>
      </c>
      <c r="W26" s="688">
        <v>1</v>
      </c>
      <c r="X26" s="688">
        <v>0</v>
      </c>
      <c r="Y26" s="688">
        <v>6</v>
      </c>
      <c r="Z26" s="688">
        <v>0</v>
      </c>
      <c r="AA26" s="688">
        <v>0</v>
      </c>
      <c r="AB26" s="688">
        <v>1</v>
      </c>
      <c r="AC26" s="688">
        <v>1</v>
      </c>
      <c r="AD26" s="688">
        <v>1</v>
      </c>
      <c r="AE26" s="688">
        <v>1</v>
      </c>
      <c r="AF26" s="708">
        <v>13</v>
      </c>
      <c r="AG26" s="678" t="s">
        <v>1456</v>
      </c>
    </row>
    <row r="27" spans="1:33" ht="21" customHeight="1">
      <c r="A27" s="984"/>
      <c r="B27" s="984"/>
      <c r="C27" s="988"/>
      <c r="D27" s="697" t="s">
        <v>1460</v>
      </c>
      <c r="E27" s="688">
        <v>0</v>
      </c>
      <c r="F27" s="688">
        <v>0</v>
      </c>
      <c r="G27" s="688">
        <v>1</v>
      </c>
      <c r="H27" s="688">
        <v>0</v>
      </c>
      <c r="I27" s="688">
        <v>1</v>
      </c>
      <c r="J27" s="688">
        <v>0</v>
      </c>
      <c r="K27" s="688">
        <v>0</v>
      </c>
      <c r="L27" s="688">
        <v>0</v>
      </c>
      <c r="M27" s="688">
        <v>0</v>
      </c>
      <c r="N27" s="688">
        <v>0</v>
      </c>
      <c r="O27" s="688">
        <v>0</v>
      </c>
      <c r="P27" s="688">
        <v>0</v>
      </c>
      <c r="Q27" s="715">
        <v>2</v>
      </c>
      <c r="R27" s="984"/>
      <c r="S27" s="984"/>
      <c r="T27" s="988"/>
      <c r="U27" s="697" t="s">
        <v>1460</v>
      </c>
      <c r="V27" s="688">
        <v>1</v>
      </c>
      <c r="W27" s="688">
        <v>1</v>
      </c>
      <c r="X27" s="688">
        <v>0</v>
      </c>
      <c r="Y27" s="688">
        <v>0</v>
      </c>
      <c r="Z27" s="688">
        <v>0</v>
      </c>
      <c r="AA27" s="688">
        <v>0</v>
      </c>
      <c r="AB27" s="688">
        <v>0</v>
      </c>
      <c r="AC27" s="688">
        <v>0</v>
      </c>
      <c r="AD27" s="688">
        <v>0</v>
      </c>
      <c r="AE27" s="688">
        <v>0</v>
      </c>
      <c r="AF27" s="715">
        <v>2</v>
      </c>
      <c r="AG27" s="678" t="s">
        <v>1456</v>
      </c>
    </row>
    <row r="28" spans="1:33" ht="21" customHeight="1" thickBot="1">
      <c r="A28" s="984"/>
      <c r="B28" s="984"/>
      <c r="C28" s="988"/>
      <c r="D28" s="695" t="s">
        <v>1459</v>
      </c>
      <c r="E28" s="694">
        <v>3</v>
      </c>
      <c r="F28" s="714">
        <v>0</v>
      </c>
      <c r="G28" s="714">
        <v>0</v>
      </c>
      <c r="H28" s="714">
        <v>1</v>
      </c>
      <c r="I28" s="714">
        <v>2</v>
      </c>
      <c r="J28" s="714">
        <v>1</v>
      </c>
      <c r="K28" s="714">
        <v>2</v>
      </c>
      <c r="L28" s="714">
        <v>1</v>
      </c>
      <c r="M28" s="714">
        <v>1</v>
      </c>
      <c r="N28" s="714">
        <v>2</v>
      </c>
      <c r="O28" s="714">
        <v>0</v>
      </c>
      <c r="P28" s="713">
        <v>0</v>
      </c>
      <c r="Q28" s="692">
        <v>13</v>
      </c>
      <c r="R28" s="984"/>
      <c r="S28" s="984"/>
      <c r="T28" s="988"/>
      <c r="U28" s="695" t="s">
        <v>1459</v>
      </c>
      <c r="V28" s="694">
        <v>1</v>
      </c>
      <c r="W28" s="714">
        <v>1</v>
      </c>
      <c r="X28" s="714">
        <v>0</v>
      </c>
      <c r="Y28" s="714">
        <v>10</v>
      </c>
      <c r="Z28" s="714">
        <v>0</v>
      </c>
      <c r="AA28" s="714">
        <v>0</v>
      </c>
      <c r="AB28" s="714">
        <v>0</v>
      </c>
      <c r="AC28" s="714">
        <v>0</v>
      </c>
      <c r="AD28" s="714">
        <v>0</v>
      </c>
      <c r="AE28" s="713">
        <v>1</v>
      </c>
      <c r="AF28" s="709">
        <v>13</v>
      </c>
      <c r="AG28" s="678" t="s">
        <v>1456</v>
      </c>
    </row>
    <row r="29" spans="1:33" ht="21" customHeight="1" thickTop="1">
      <c r="A29" s="984"/>
      <c r="B29" s="984"/>
      <c r="C29" s="988"/>
      <c r="D29" s="690" t="s">
        <v>1458</v>
      </c>
      <c r="E29" s="688">
        <v>3</v>
      </c>
      <c r="F29" s="688">
        <v>0</v>
      </c>
      <c r="G29" s="688">
        <v>1</v>
      </c>
      <c r="H29" s="688">
        <v>3</v>
      </c>
      <c r="I29" s="688">
        <v>5</v>
      </c>
      <c r="J29" s="688">
        <v>6</v>
      </c>
      <c r="K29" s="688">
        <v>6</v>
      </c>
      <c r="L29" s="688">
        <v>1</v>
      </c>
      <c r="M29" s="688">
        <v>1</v>
      </c>
      <c r="N29" s="688">
        <v>2</v>
      </c>
      <c r="O29" s="688">
        <v>0</v>
      </c>
      <c r="P29" s="688">
        <v>0</v>
      </c>
      <c r="Q29" s="708">
        <v>28</v>
      </c>
      <c r="R29" s="984"/>
      <c r="S29" s="984"/>
      <c r="T29" s="988"/>
      <c r="U29" s="690" t="s">
        <v>1458</v>
      </c>
      <c r="V29" s="688">
        <v>4</v>
      </c>
      <c r="W29" s="688">
        <v>3</v>
      </c>
      <c r="X29" s="688">
        <v>0</v>
      </c>
      <c r="Y29" s="688">
        <v>16</v>
      </c>
      <c r="Z29" s="688">
        <v>0</v>
      </c>
      <c r="AA29" s="688">
        <v>0</v>
      </c>
      <c r="AB29" s="688">
        <v>1</v>
      </c>
      <c r="AC29" s="688">
        <v>1</v>
      </c>
      <c r="AD29" s="688">
        <v>1</v>
      </c>
      <c r="AE29" s="688">
        <v>2</v>
      </c>
      <c r="AF29" s="691">
        <v>28</v>
      </c>
      <c r="AG29" s="678" t="s">
        <v>1456</v>
      </c>
    </row>
    <row r="30" spans="1:33" ht="21" customHeight="1" thickBot="1">
      <c r="A30" s="984"/>
      <c r="B30" s="984"/>
      <c r="C30" s="989"/>
      <c r="D30" s="719" t="s">
        <v>1457</v>
      </c>
      <c r="E30" s="683">
        <v>0</v>
      </c>
      <c r="F30" s="704">
        <v>0</v>
      </c>
      <c r="G30" s="704">
        <v>0</v>
      </c>
      <c r="H30" s="704">
        <v>0</v>
      </c>
      <c r="I30" s="704">
        <v>1</v>
      </c>
      <c r="J30" s="704">
        <v>0</v>
      </c>
      <c r="K30" s="704">
        <v>2</v>
      </c>
      <c r="L30" s="704">
        <v>0</v>
      </c>
      <c r="M30" s="704">
        <v>0</v>
      </c>
      <c r="N30" s="704">
        <v>0</v>
      </c>
      <c r="O30" s="704">
        <v>0</v>
      </c>
      <c r="P30" s="704">
        <v>0</v>
      </c>
      <c r="Q30" s="681">
        <v>3</v>
      </c>
      <c r="R30" s="984"/>
      <c r="S30" s="984"/>
      <c r="T30" s="989"/>
      <c r="U30" s="719" t="s">
        <v>1457</v>
      </c>
      <c r="V30" s="683">
        <v>0</v>
      </c>
      <c r="W30" s="704">
        <v>1</v>
      </c>
      <c r="X30" s="704">
        <v>0</v>
      </c>
      <c r="Y30" s="704">
        <v>2</v>
      </c>
      <c r="Z30" s="704">
        <v>0</v>
      </c>
      <c r="AA30" s="704">
        <v>0</v>
      </c>
      <c r="AB30" s="704">
        <v>0</v>
      </c>
      <c r="AC30" s="704">
        <v>0</v>
      </c>
      <c r="AD30" s="704">
        <v>0</v>
      </c>
      <c r="AE30" s="704">
        <v>0</v>
      </c>
      <c r="AF30" s="681">
        <v>3</v>
      </c>
      <c r="AG30" s="678" t="s">
        <v>1456</v>
      </c>
    </row>
    <row r="31" spans="1:33" ht="21" customHeight="1">
      <c r="A31" s="984"/>
      <c r="B31" s="984"/>
      <c r="C31" s="983" t="s">
        <v>1463</v>
      </c>
      <c r="D31" s="698" t="s">
        <v>1461</v>
      </c>
      <c r="E31" s="688">
        <v>1</v>
      </c>
      <c r="F31" s="688">
        <v>0</v>
      </c>
      <c r="G31" s="688">
        <v>7</v>
      </c>
      <c r="H31" s="688">
        <v>14</v>
      </c>
      <c r="I31" s="688">
        <v>0</v>
      </c>
      <c r="J31" s="688">
        <v>4</v>
      </c>
      <c r="K31" s="688">
        <v>0</v>
      </c>
      <c r="L31" s="688">
        <v>10</v>
      </c>
      <c r="M31" s="688">
        <v>0</v>
      </c>
      <c r="N31" s="688">
        <v>0</v>
      </c>
      <c r="O31" s="688">
        <v>0</v>
      </c>
      <c r="P31" s="688">
        <v>0</v>
      </c>
      <c r="Q31" s="696">
        <v>36</v>
      </c>
      <c r="R31" s="984"/>
      <c r="S31" s="984"/>
      <c r="T31" s="983" t="s">
        <v>1463</v>
      </c>
      <c r="U31" s="698" t="s">
        <v>1461</v>
      </c>
      <c r="V31" s="688">
        <v>5</v>
      </c>
      <c r="W31" s="688">
        <v>0</v>
      </c>
      <c r="X31" s="688">
        <v>0</v>
      </c>
      <c r="Y31" s="688">
        <v>6</v>
      </c>
      <c r="Z31" s="688">
        <v>4</v>
      </c>
      <c r="AA31" s="688">
        <v>0</v>
      </c>
      <c r="AB31" s="688">
        <v>0</v>
      </c>
      <c r="AC31" s="688">
        <v>1</v>
      </c>
      <c r="AD31" s="688">
        <v>0</v>
      </c>
      <c r="AE31" s="688">
        <v>20</v>
      </c>
      <c r="AF31" s="686">
        <v>36</v>
      </c>
      <c r="AG31" s="678" t="s">
        <v>1456</v>
      </c>
    </row>
    <row r="32" spans="1:33" ht="21" customHeight="1">
      <c r="A32" s="984"/>
      <c r="B32" s="984"/>
      <c r="C32" s="984"/>
      <c r="D32" s="697" t="s">
        <v>1460</v>
      </c>
      <c r="E32" s="718">
        <v>0</v>
      </c>
      <c r="F32" s="717">
        <v>0</v>
      </c>
      <c r="G32" s="717">
        <v>0</v>
      </c>
      <c r="H32" s="717">
        <v>0</v>
      </c>
      <c r="I32" s="717">
        <v>0</v>
      </c>
      <c r="J32" s="717">
        <v>0</v>
      </c>
      <c r="K32" s="717">
        <v>0</v>
      </c>
      <c r="L32" s="717">
        <v>0</v>
      </c>
      <c r="M32" s="717">
        <v>0</v>
      </c>
      <c r="N32" s="717">
        <v>0</v>
      </c>
      <c r="O32" s="717">
        <v>0</v>
      </c>
      <c r="P32" s="716">
        <v>0</v>
      </c>
      <c r="Q32" s="715">
        <v>0</v>
      </c>
      <c r="R32" s="984"/>
      <c r="S32" s="984"/>
      <c r="T32" s="984"/>
      <c r="U32" s="697" t="s">
        <v>1460</v>
      </c>
      <c r="V32" s="688">
        <v>0</v>
      </c>
      <c r="W32" s="688">
        <v>0</v>
      </c>
      <c r="X32" s="688">
        <v>0</v>
      </c>
      <c r="Y32" s="688">
        <v>0</v>
      </c>
      <c r="Z32" s="688">
        <v>0</v>
      </c>
      <c r="AA32" s="688">
        <v>0</v>
      </c>
      <c r="AB32" s="688">
        <v>0</v>
      </c>
      <c r="AC32" s="688">
        <v>0</v>
      </c>
      <c r="AD32" s="688">
        <v>0</v>
      </c>
      <c r="AE32" s="688">
        <v>0</v>
      </c>
      <c r="AF32" s="715">
        <v>0</v>
      </c>
      <c r="AG32" s="678" t="s">
        <v>1456</v>
      </c>
    </row>
    <row r="33" spans="1:33" ht="21" customHeight="1" thickBot="1">
      <c r="A33" s="984"/>
      <c r="B33" s="984"/>
      <c r="C33" s="984"/>
      <c r="D33" s="695" t="s">
        <v>1459</v>
      </c>
      <c r="E33" s="712">
        <v>1</v>
      </c>
      <c r="F33" s="711">
        <v>2</v>
      </c>
      <c r="G33" s="711">
        <v>1</v>
      </c>
      <c r="H33" s="711">
        <v>11</v>
      </c>
      <c r="I33" s="711">
        <v>1</v>
      </c>
      <c r="J33" s="711">
        <v>2</v>
      </c>
      <c r="K33" s="711">
        <v>1</v>
      </c>
      <c r="L33" s="711">
        <v>10</v>
      </c>
      <c r="M33" s="711">
        <v>5</v>
      </c>
      <c r="N33" s="711">
        <v>1</v>
      </c>
      <c r="O33" s="711">
        <v>1</v>
      </c>
      <c r="P33" s="710">
        <v>2</v>
      </c>
      <c r="Q33" s="692">
        <v>38</v>
      </c>
      <c r="R33" s="984"/>
      <c r="S33" s="984"/>
      <c r="T33" s="984"/>
      <c r="U33" s="695" t="s">
        <v>1459</v>
      </c>
      <c r="V33" s="694">
        <v>1</v>
      </c>
      <c r="W33" s="714">
        <v>0</v>
      </c>
      <c r="X33" s="714">
        <v>0</v>
      </c>
      <c r="Y33" s="714">
        <v>8</v>
      </c>
      <c r="Z33" s="714">
        <v>9</v>
      </c>
      <c r="AA33" s="714">
        <v>0</v>
      </c>
      <c r="AB33" s="714">
        <v>0</v>
      </c>
      <c r="AC33" s="714">
        <v>0</v>
      </c>
      <c r="AD33" s="714">
        <v>0</v>
      </c>
      <c r="AE33" s="713">
        <v>20</v>
      </c>
      <c r="AF33" s="709">
        <v>38</v>
      </c>
      <c r="AG33" s="678" t="s">
        <v>1456</v>
      </c>
    </row>
    <row r="34" spans="1:33" ht="21" customHeight="1" thickTop="1">
      <c r="A34" s="984"/>
      <c r="B34" s="984"/>
      <c r="C34" s="984"/>
      <c r="D34" s="690" t="s">
        <v>1458</v>
      </c>
      <c r="E34" s="688">
        <v>2</v>
      </c>
      <c r="F34" s="688">
        <v>2</v>
      </c>
      <c r="G34" s="688">
        <v>8</v>
      </c>
      <c r="H34" s="688">
        <v>25</v>
      </c>
      <c r="I34" s="688">
        <v>1</v>
      </c>
      <c r="J34" s="688">
        <v>6</v>
      </c>
      <c r="K34" s="688">
        <v>1</v>
      </c>
      <c r="L34" s="688">
        <v>20</v>
      </c>
      <c r="M34" s="688">
        <v>5</v>
      </c>
      <c r="N34" s="688">
        <v>1</v>
      </c>
      <c r="O34" s="688">
        <v>1</v>
      </c>
      <c r="P34" s="688">
        <v>2</v>
      </c>
      <c r="Q34" s="708">
        <v>74</v>
      </c>
      <c r="R34" s="984"/>
      <c r="S34" s="984"/>
      <c r="T34" s="984"/>
      <c r="U34" s="690" t="s">
        <v>1458</v>
      </c>
      <c r="V34" s="688">
        <v>6</v>
      </c>
      <c r="W34" s="688">
        <v>0</v>
      </c>
      <c r="X34" s="688">
        <v>0</v>
      </c>
      <c r="Y34" s="688">
        <v>14</v>
      </c>
      <c r="Z34" s="688">
        <v>13</v>
      </c>
      <c r="AA34" s="688">
        <v>0</v>
      </c>
      <c r="AB34" s="688">
        <v>0</v>
      </c>
      <c r="AC34" s="688">
        <v>1</v>
      </c>
      <c r="AD34" s="688">
        <v>0</v>
      </c>
      <c r="AE34" s="688">
        <v>40</v>
      </c>
      <c r="AF34" s="691">
        <v>74</v>
      </c>
      <c r="AG34" s="678" t="s">
        <v>1456</v>
      </c>
    </row>
    <row r="35" spans="1:33" ht="21" customHeight="1" thickBot="1">
      <c r="A35" s="984"/>
      <c r="B35" s="984"/>
      <c r="C35" s="984"/>
      <c r="D35" s="684" t="s">
        <v>1457</v>
      </c>
      <c r="E35" s="683">
        <v>0</v>
      </c>
      <c r="F35" s="704">
        <v>0</v>
      </c>
      <c r="G35" s="704">
        <v>1</v>
      </c>
      <c r="H35" s="704">
        <v>8</v>
      </c>
      <c r="I35" s="704">
        <v>0</v>
      </c>
      <c r="J35" s="704">
        <v>2</v>
      </c>
      <c r="K35" s="704">
        <v>0</v>
      </c>
      <c r="L35" s="704">
        <v>6</v>
      </c>
      <c r="M35" s="704">
        <v>0</v>
      </c>
      <c r="N35" s="704">
        <v>0</v>
      </c>
      <c r="O35" s="704">
        <v>0</v>
      </c>
      <c r="P35" s="704">
        <v>0</v>
      </c>
      <c r="Q35" s="681">
        <v>17</v>
      </c>
      <c r="R35" s="984"/>
      <c r="S35" s="984"/>
      <c r="T35" s="984"/>
      <c r="U35" s="684" t="s">
        <v>1457</v>
      </c>
      <c r="V35" s="683">
        <v>0</v>
      </c>
      <c r="W35" s="704">
        <v>0</v>
      </c>
      <c r="X35" s="704">
        <v>0</v>
      </c>
      <c r="Y35" s="704">
        <v>0</v>
      </c>
      <c r="Z35" s="704">
        <v>4</v>
      </c>
      <c r="AA35" s="704">
        <v>0</v>
      </c>
      <c r="AB35" s="704">
        <v>0</v>
      </c>
      <c r="AC35" s="704">
        <v>0</v>
      </c>
      <c r="AD35" s="704">
        <v>0</v>
      </c>
      <c r="AE35" s="703">
        <v>13</v>
      </c>
      <c r="AF35" s="681">
        <v>17</v>
      </c>
      <c r="AG35" s="678" t="s">
        <v>1456</v>
      </c>
    </row>
    <row r="36" spans="1:33" ht="21" customHeight="1">
      <c r="A36" s="984"/>
      <c r="B36" s="990" t="s">
        <v>1472</v>
      </c>
      <c r="C36" s="991"/>
      <c r="D36" s="723" t="s">
        <v>1461</v>
      </c>
      <c r="E36" s="688">
        <v>34</v>
      </c>
      <c r="F36" s="688">
        <v>70</v>
      </c>
      <c r="G36" s="688">
        <v>157</v>
      </c>
      <c r="H36" s="688">
        <v>188</v>
      </c>
      <c r="I36" s="688">
        <v>110</v>
      </c>
      <c r="J36" s="688">
        <v>139</v>
      </c>
      <c r="K36" s="688">
        <v>162</v>
      </c>
      <c r="L36" s="688">
        <v>62</v>
      </c>
      <c r="M36" s="688">
        <v>11</v>
      </c>
      <c r="N36" s="688">
        <v>4</v>
      </c>
      <c r="O36" s="688">
        <v>4</v>
      </c>
      <c r="P36" s="687">
        <v>2</v>
      </c>
      <c r="Q36" s="686">
        <v>943</v>
      </c>
      <c r="R36" s="984"/>
      <c r="S36" s="990" t="s">
        <v>1472</v>
      </c>
      <c r="T36" s="991"/>
      <c r="U36" s="723" t="s">
        <v>1461</v>
      </c>
      <c r="V36" s="688">
        <v>232</v>
      </c>
      <c r="W36" s="688">
        <v>61</v>
      </c>
      <c r="X36" s="688">
        <v>154</v>
      </c>
      <c r="Y36" s="688">
        <v>121</v>
      </c>
      <c r="Z36" s="688">
        <v>120</v>
      </c>
      <c r="AA36" s="688">
        <v>0</v>
      </c>
      <c r="AB36" s="688">
        <v>59</v>
      </c>
      <c r="AC36" s="688">
        <v>16</v>
      </c>
      <c r="AD36" s="688">
        <v>51</v>
      </c>
      <c r="AE36" s="688">
        <v>129</v>
      </c>
      <c r="AF36" s="699">
        <v>943</v>
      </c>
      <c r="AG36" s="678" t="s">
        <v>1456</v>
      </c>
    </row>
    <row r="37" spans="1:33" ht="21" customHeight="1">
      <c r="A37" s="984"/>
      <c r="B37" s="992"/>
      <c r="C37" s="993"/>
      <c r="D37" s="697" t="s">
        <v>1460</v>
      </c>
      <c r="E37" s="688">
        <v>8</v>
      </c>
      <c r="F37" s="688">
        <v>50</v>
      </c>
      <c r="G37" s="688">
        <v>20</v>
      </c>
      <c r="H37" s="688">
        <v>19</v>
      </c>
      <c r="I37" s="688">
        <v>10</v>
      </c>
      <c r="J37" s="688">
        <v>31</v>
      </c>
      <c r="K37" s="688">
        <v>20</v>
      </c>
      <c r="L37" s="688">
        <v>32</v>
      </c>
      <c r="M37" s="688">
        <v>25</v>
      </c>
      <c r="N37" s="688">
        <v>7</v>
      </c>
      <c r="O37" s="688">
        <v>8</v>
      </c>
      <c r="P37" s="687">
        <v>20</v>
      </c>
      <c r="Q37" s="686">
        <v>250</v>
      </c>
      <c r="R37" s="984"/>
      <c r="S37" s="992"/>
      <c r="T37" s="993"/>
      <c r="U37" s="697" t="s">
        <v>1460</v>
      </c>
      <c r="V37" s="688">
        <v>1</v>
      </c>
      <c r="W37" s="688">
        <v>1</v>
      </c>
      <c r="X37" s="688">
        <v>39</v>
      </c>
      <c r="Y37" s="688">
        <v>48</v>
      </c>
      <c r="Z37" s="688">
        <v>10</v>
      </c>
      <c r="AA37" s="688">
        <v>12</v>
      </c>
      <c r="AB37" s="688">
        <v>122</v>
      </c>
      <c r="AC37" s="688">
        <v>17</v>
      </c>
      <c r="AD37" s="688">
        <v>0</v>
      </c>
      <c r="AE37" s="688">
        <v>0</v>
      </c>
      <c r="AF37" s="686">
        <v>250</v>
      </c>
      <c r="AG37" s="678" t="s">
        <v>1456</v>
      </c>
    </row>
    <row r="38" spans="1:33" ht="21" customHeight="1" thickBot="1">
      <c r="A38" s="984"/>
      <c r="B38" s="992"/>
      <c r="C38" s="993"/>
      <c r="D38" s="695" t="s">
        <v>1459</v>
      </c>
      <c r="E38" s="694">
        <v>273</v>
      </c>
      <c r="F38" s="694">
        <v>289</v>
      </c>
      <c r="G38" s="694">
        <v>271</v>
      </c>
      <c r="H38" s="694">
        <v>338</v>
      </c>
      <c r="I38" s="694">
        <v>325</v>
      </c>
      <c r="J38" s="694">
        <v>261</v>
      </c>
      <c r="K38" s="694">
        <v>330</v>
      </c>
      <c r="L38" s="694">
        <v>282</v>
      </c>
      <c r="M38" s="694">
        <v>230</v>
      </c>
      <c r="N38" s="694">
        <v>255</v>
      </c>
      <c r="O38" s="694">
        <v>235</v>
      </c>
      <c r="P38" s="693">
        <v>210</v>
      </c>
      <c r="Q38" s="696">
        <v>3299</v>
      </c>
      <c r="R38" s="984"/>
      <c r="S38" s="992"/>
      <c r="T38" s="993"/>
      <c r="U38" s="695" t="s">
        <v>1459</v>
      </c>
      <c r="V38" s="694">
        <v>1140</v>
      </c>
      <c r="W38" s="694">
        <v>144</v>
      </c>
      <c r="X38" s="694">
        <v>593</v>
      </c>
      <c r="Y38" s="694">
        <v>18</v>
      </c>
      <c r="Z38" s="694">
        <v>381</v>
      </c>
      <c r="AA38" s="694">
        <v>418</v>
      </c>
      <c r="AB38" s="694">
        <v>174</v>
      </c>
      <c r="AC38" s="694">
        <v>74</v>
      </c>
      <c r="AD38" s="694">
        <v>178</v>
      </c>
      <c r="AE38" s="694">
        <v>179</v>
      </c>
      <c r="AF38" s="696">
        <v>3299</v>
      </c>
      <c r="AG38" s="678" t="s">
        <v>1456</v>
      </c>
    </row>
    <row r="39" spans="1:33" ht="21" customHeight="1" thickTop="1">
      <c r="A39" s="984"/>
      <c r="B39" s="992"/>
      <c r="C39" s="993"/>
      <c r="D39" s="690" t="s">
        <v>1458</v>
      </c>
      <c r="E39" s="689">
        <v>315</v>
      </c>
      <c r="F39" s="689">
        <v>409</v>
      </c>
      <c r="G39" s="689">
        <v>448</v>
      </c>
      <c r="H39" s="689">
        <v>545</v>
      </c>
      <c r="I39" s="689">
        <v>445</v>
      </c>
      <c r="J39" s="689">
        <v>431</v>
      </c>
      <c r="K39" s="689">
        <v>512</v>
      </c>
      <c r="L39" s="689">
        <v>376</v>
      </c>
      <c r="M39" s="689">
        <v>266</v>
      </c>
      <c r="N39" s="689">
        <v>266</v>
      </c>
      <c r="O39" s="689">
        <v>247</v>
      </c>
      <c r="P39" s="689">
        <v>232</v>
      </c>
      <c r="Q39" s="691">
        <v>4492</v>
      </c>
      <c r="R39" s="984"/>
      <c r="S39" s="992"/>
      <c r="T39" s="993"/>
      <c r="U39" s="690" t="s">
        <v>1458</v>
      </c>
      <c r="V39" s="689">
        <v>1373</v>
      </c>
      <c r="W39" s="689">
        <v>206</v>
      </c>
      <c r="X39" s="689">
        <v>786</v>
      </c>
      <c r="Y39" s="689">
        <v>187</v>
      </c>
      <c r="Z39" s="689">
        <v>511</v>
      </c>
      <c r="AA39" s="689">
        <v>430</v>
      </c>
      <c r="AB39" s="689">
        <v>355</v>
      </c>
      <c r="AC39" s="689">
        <v>107</v>
      </c>
      <c r="AD39" s="689">
        <v>229</v>
      </c>
      <c r="AE39" s="689">
        <v>308</v>
      </c>
      <c r="AF39" s="691">
        <v>4492</v>
      </c>
      <c r="AG39" s="678" t="s">
        <v>1456</v>
      </c>
    </row>
    <row r="40" spans="1:33" ht="21" customHeight="1" thickBot="1">
      <c r="A40" s="985"/>
      <c r="B40" s="994"/>
      <c r="C40" s="995"/>
      <c r="D40" s="684" t="s">
        <v>1457</v>
      </c>
      <c r="E40" s="683">
        <v>38</v>
      </c>
      <c r="F40" s="683">
        <v>51</v>
      </c>
      <c r="G40" s="683">
        <v>93</v>
      </c>
      <c r="H40" s="683">
        <v>114</v>
      </c>
      <c r="I40" s="683">
        <v>69</v>
      </c>
      <c r="J40" s="683">
        <v>95</v>
      </c>
      <c r="K40" s="683">
        <v>87</v>
      </c>
      <c r="L40" s="683">
        <v>40</v>
      </c>
      <c r="M40" s="683">
        <v>16</v>
      </c>
      <c r="N40" s="683">
        <v>21</v>
      </c>
      <c r="O40" s="683">
        <v>20</v>
      </c>
      <c r="P40" s="682">
        <v>30</v>
      </c>
      <c r="Q40" s="685">
        <v>674</v>
      </c>
      <c r="R40" s="985"/>
      <c r="S40" s="994"/>
      <c r="T40" s="995"/>
      <c r="U40" s="684" t="s">
        <v>1457</v>
      </c>
      <c r="V40" s="683">
        <v>135</v>
      </c>
      <c r="W40" s="683">
        <v>22</v>
      </c>
      <c r="X40" s="683">
        <v>84</v>
      </c>
      <c r="Y40" s="683">
        <v>52</v>
      </c>
      <c r="Z40" s="683">
        <v>158</v>
      </c>
      <c r="AA40" s="683">
        <v>0</v>
      </c>
      <c r="AB40" s="683">
        <v>86</v>
      </c>
      <c r="AC40" s="683">
        <v>0</v>
      </c>
      <c r="AD40" s="683">
        <v>82</v>
      </c>
      <c r="AE40" s="683">
        <v>55</v>
      </c>
      <c r="AF40" s="685">
        <v>674</v>
      </c>
      <c r="AG40" s="678" t="s">
        <v>1456</v>
      </c>
    </row>
    <row r="41" spans="1:33" ht="21" customHeight="1">
      <c r="A41" s="983" t="s">
        <v>1471</v>
      </c>
      <c r="B41" s="983" t="s">
        <v>1470</v>
      </c>
      <c r="C41" s="983" t="s">
        <v>1469</v>
      </c>
      <c r="D41" s="723" t="s">
        <v>1461</v>
      </c>
      <c r="E41" s="688">
        <v>31</v>
      </c>
      <c r="F41" s="688">
        <v>38</v>
      </c>
      <c r="G41" s="688">
        <v>39</v>
      </c>
      <c r="H41" s="688">
        <v>82</v>
      </c>
      <c r="I41" s="688">
        <v>59</v>
      </c>
      <c r="J41" s="688">
        <v>58</v>
      </c>
      <c r="K41" s="688">
        <v>51</v>
      </c>
      <c r="L41" s="688">
        <v>17</v>
      </c>
      <c r="M41" s="688">
        <v>28</v>
      </c>
      <c r="N41" s="688">
        <v>29</v>
      </c>
      <c r="O41" s="688">
        <v>29</v>
      </c>
      <c r="P41" s="687">
        <v>19</v>
      </c>
      <c r="Q41" s="708">
        <v>480</v>
      </c>
      <c r="R41" s="983" t="s">
        <v>1471</v>
      </c>
      <c r="S41" s="983" t="s">
        <v>1470</v>
      </c>
      <c r="T41" s="983" t="s">
        <v>1469</v>
      </c>
      <c r="U41" s="723" t="s">
        <v>1461</v>
      </c>
      <c r="V41" s="688">
        <v>66</v>
      </c>
      <c r="W41" s="688">
        <v>12</v>
      </c>
      <c r="X41" s="688">
        <v>56</v>
      </c>
      <c r="Y41" s="688">
        <v>62</v>
      </c>
      <c r="Z41" s="688">
        <v>48</v>
      </c>
      <c r="AA41" s="688">
        <v>1</v>
      </c>
      <c r="AB41" s="688">
        <v>105</v>
      </c>
      <c r="AC41" s="688">
        <v>9</v>
      </c>
      <c r="AD41" s="688">
        <v>86</v>
      </c>
      <c r="AE41" s="687">
        <v>35</v>
      </c>
      <c r="AF41" s="708">
        <v>480</v>
      </c>
      <c r="AG41" s="678" t="s">
        <v>1456</v>
      </c>
    </row>
    <row r="42" spans="1:33" ht="21" customHeight="1">
      <c r="A42" s="984"/>
      <c r="B42" s="984"/>
      <c r="C42" s="984"/>
      <c r="D42" s="697" t="s">
        <v>1460</v>
      </c>
      <c r="E42" s="688">
        <v>507</v>
      </c>
      <c r="F42" s="688">
        <v>501</v>
      </c>
      <c r="G42" s="688">
        <v>494</v>
      </c>
      <c r="H42" s="688">
        <v>460</v>
      </c>
      <c r="I42" s="688">
        <v>451</v>
      </c>
      <c r="J42" s="688">
        <v>467</v>
      </c>
      <c r="K42" s="688">
        <v>492</v>
      </c>
      <c r="L42" s="688">
        <v>514</v>
      </c>
      <c r="M42" s="688">
        <v>505</v>
      </c>
      <c r="N42" s="688">
        <v>510</v>
      </c>
      <c r="O42" s="688">
        <v>501</v>
      </c>
      <c r="P42" s="687">
        <v>515</v>
      </c>
      <c r="Q42" s="715">
        <v>5917</v>
      </c>
      <c r="R42" s="984"/>
      <c r="S42" s="984"/>
      <c r="T42" s="984"/>
      <c r="U42" s="697" t="s">
        <v>1460</v>
      </c>
      <c r="V42" s="688">
        <v>1137</v>
      </c>
      <c r="W42" s="688">
        <v>408</v>
      </c>
      <c r="X42" s="688">
        <v>977</v>
      </c>
      <c r="Y42" s="688">
        <v>682</v>
      </c>
      <c r="Z42" s="688">
        <v>1141</v>
      </c>
      <c r="AA42" s="688">
        <v>47</v>
      </c>
      <c r="AB42" s="688">
        <v>322</v>
      </c>
      <c r="AC42" s="688">
        <v>183</v>
      </c>
      <c r="AD42" s="688">
        <v>347</v>
      </c>
      <c r="AE42" s="687">
        <v>673</v>
      </c>
      <c r="AF42" s="715">
        <v>5917</v>
      </c>
      <c r="AG42" s="678" t="s">
        <v>1456</v>
      </c>
    </row>
    <row r="43" spans="1:33" ht="21" customHeight="1" thickBot="1">
      <c r="A43" s="984"/>
      <c r="B43" s="984"/>
      <c r="C43" s="984"/>
      <c r="D43" s="695" t="s">
        <v>1459</v>
      </c>
      <c r="E43" s="727">
        <v>199</v>
      </c>
      <c r="F43" s="727">
        <v>161</v>
      </c>
      <c r="G43" s="727">
        <v>142</v>
      </c>
      <c r="H43" s="727">
        <v>190</v>
      </c>
      <c r="I43" s="727">
        <v>160</v>
      </c>
      <c r="J43" s="727">
        <v>105</v>
      </c>
      <c r="K43" s="727">
        <v>199</v>
      </c>
      <c r="L43" s="727">
        <v>187</v>
      </c>
      <c r="M43" s="727">
        <v>143</v>
      </c>
      <c r="N43" s="727">
        <v>212</v>
      </c>
      <c r="O43" s="727">
        <v>175</v>
      </c>
      <c r="P43" s="726">
        <v>140</v>
      </c>
      <c r="Q43" s="692">
        <v>2013</v>
      </c>
      <c r="R43" s="984"/>
      <c r="S43" s="984"/>
      <c r="T43" s="984"/>
      <c r="U43" s="695" t="s">
        <v>1459</v>
      </c>
      <c r="V43" s="727">
        <v>1142</v>
      </c>
      <c r="W43" s="727">
        <v>143</v>
      </c>
      <c r="X43" s="727">
        <v>341</v>
      </c>
      <c r="Y43" s="727">
        <v>0</v>
      </c>
      <c r="Z43" s="727">
        <v>11</v>
      </c>
      <c r="AA43" s="727">
        <v>26</v>
      </c>
      <c r="AB43" s="727">
        <v>90</v>
      </c>
      <c r="AC43" s="727">
        <v>0</v>
      </c>
      <c r="AD43" s="727">
        <v>11</v>
      </c>
      <c r="AE43" s="726">
        <v>249</v>
      </c>
      <c r="AF43" s="692">
        <v>2013</v>
      </c>
      <c r="AG43" s="678" t="s">
        <v>1456</v>
      </c>
    </row>
    <row r="44" spans="1:33" ht="21" customHeight="1" thickTop="1">
      <c r="A44" s="984"/>
      <c r="B44" s="984"/>
      <c r="C44" s="984"/>
      <c r="D44" s="690" t="s">
        <v>1458</v>
      </c>
      <c r="E44" s="689">
        <v>737</v>
      </c>
      <c r="F44" s="689">
        <v>700</v>
      </c>
      <c r="G44" s="689">
        <v>675</v>
      </c>
      <c r="H44" s="689">
        <v>732</v>
      </c>
      <c r="I44" s="689">
        <v>670</v>
      </c>
      <c r="J44" s="689">
        <v>630</v>
      </c>
      <c r="K44" s="689">
        <v>742</v>
      </c>
      <c r="L44" s="689">
        <v>718</v>
      </c>
      <c r="M44" s="689">
        <v>676</v>
      </c>
      <c r="N44" s="689">
        <v>751</v>
      </c>
      <c r="O44" s="689">
        <v>705</v>
      </c>
      <c r="P44" s="689">
        <v>674</v>
      </c>
      <c r="Q44" s="708">
        <v>8410</v>
      </c>
      <c r="R44" s="984"/>
      <c r="S44" s="984"/>
      <c r="T44" s="984"/>
      <c r="U44" s="690" t="s">
        <v>1458</v>
      </c>
      <c r="V44" s="689">
        <v>2345</v>
      </c>
      <c r="W44" s="689">
        <v>563</v>
      </c>
      <c r="X44" s="689">
        <v>1374</v>
      </c>
      <c r="Y44" s="689">
        <v>744</v>
      </c>
      <c r="Z44" s="689">
        <v>1200</v>
      </c>
      <c r="AA44" s="689">
        <v>74</v>
      </c>
      <c r="AB44" s="689">
        <v>517</v>
      </c>
      <c r="AC44" s="689">
        <v>192</v>
      </c>
      <c r="AD44" s="689">
        <v>444</v>
      </c>
      <c r="AE44" s="725">
        <v>957</v>
      </c>
      <c r="AF44" s="708">
        <v>8410</v>
      </c>
      <c r="AG44" s="678" t="s">
        <v>1456</v>
      </c>
    </row>
    <row r="45" spans="1:33" ht="21" customHeight="1" thickBot="1">
      <c r="A45" s="984"/>
      <c r="B45" s="984"/>
      <c r="C45" s="984"/>
      <c r="D45" s="719" t="s">
        <v>1457</v>
      </c>
      <c r="E45" s="731">
        <v>2</v>
      </c>
      <c r="F45" s="731">
        <v>0</v>
      </c>
      <c r="G45" s="731">
        <v>2</v>
      </c>
      <c r="H45" s="731">
        <v>7</v>
      </c>
      <c r="I45" s="731">
        <v>4</v>
      </c>
      <c r="J45" s="731">
        <v>1</v>
      </c>
      <c r="K45" s="731">
        <v>0</v>
      </c>
      <c r="L45" s="731">
        <v>4</v>
      </c>
      <c r="M45" s="731">
        <v>0</v>
      </c>
      <c r="N45" s="731">
        <v>1</v>
      </c>
      <c r="O45" s="731">
        <v>1</v>
      </c>
      <c r="P45" s="730">
        <v>0</v>
      </c>
      <c r="Q45" s="681">
        <v>22</v>
      </c>
      <c r="R45" s="984"/>
      <c r="S45" s="984"/>
      <c r="T45" s="984"/>
      <c r="U45" s="719" t="s">
        <v>1457</v>
      </c>
      <c r="V45" s="731">
        <v>0</v>
      </c>
      <c r="W45" s="731">
        <v>6</v>
      </c>
      <c r="X45" s="731">
        <v>0</v>
      </c>
      <c r="Y45" s="731">
        <v>1</v>
      </c>
      <c r="Z45" s="731">
        <v>11</v>
      </c>
      <c r="AA45" s="731">
        <v>0</v>
      </c>
      <c r="AB45" s="731">
        <v>0</v>
      </c>
      <c r="AC45" s="731">
        <v>0</v>
      </c>
      <c r="AD45" s="731">
        <v>1</v>
      </c>
      <c r="AE45" s="730">
        <v>3</v>
      </c>
      <c r="AF45" s="681">
        <v>22</v>
      </c>
      <c r="AG45" s="678" t="s">
        <v>1456</v>
      </c>
    </row>
    <row r="46" spans="1:33" ht="21" customHeight="1">
      <c r="A46" s="984"/>
      <c r="B46" s="984"/>
      <c r="C46" s="983" t="s">
        <v>1468</v>
      </c>
      <c r="D46" s="698" t="s">
        <v>1461</v>
      </c>
      <c r="E46" s="729">
        <v>4</v>
      </c>
      <c r="F46" s="729">
        <v>12</v>
      </c>
      <c r="G46" s="729">
        <v>42</v>
      </c>
      <c r="H46" s="729">
        <v>25</v>
      </c>
      <c r="I46" s="729">
        <v>40</v>
      </c>
      <c r="J46" s="729">
        <v>22</v>
      </c>
      <c r="K46" s="729">
        <v>9</v>
      </c>
      <c r="L46" s="729">
        <v>28</v>
      </c>
      <c r="M46" s="729">
        <v>7</v>
      </c>
      <c r="N46" s="729">
        <v>10</v>
      </c>
      <c r="O46" s="729">
        <v>7</v>
      </c>
      <c r="P46" s="728">
        <v>14</v>
      </c>
      <c r="Q46" s="708">
        <v>220</v>
      </c>
      <c r="R46" s="984"/>
      <c r="S46" s="984"/>
      <c r="T46" s="983" t="s">
        <v>1468</v>
      </c>
      <c r="U46" s="698" t="s">
        <v>1461</v>
      </c>
      <c r="V46" s="729">
        <v>24</v>
      </c>
      <c r="W46" s="729">
        <v>7</v>
      </c>
      <c r="X46" s="729">
        <v>8</v>
      </c>
      <c r="Y46" s="729">
        <v>30</v>
      </c>
      <c r="Z46" s="729">
        <v>35</v>
      </c>
      <c r="AA46" s="729">
        <v>43</v>
      </c>
      <c r="AB46" s="729">
        <v>25</v>
      </c>
      <c r="AC46" s="729">
        <v>16</v>
      </c>
      <c r="AD46" s="729">
        <v>21</v>
      </c>
      <c r="AE46" s="728">
        <v>11</v>
      </c>
      <c r="AF46" s="708">
        <v>220</v>
      </c>
      <c r="AG46" s="678" t="s">
        <v>1456</v>
      </c>
    </row>
    <row r="47" spans="1:33" ht="21" customHeight="1">
      <c r="A47" s="984"/>
      <c r="B47" s="984"/>
      <c r="C47" s="984"/>
      <c r="D47" s="697" t="s">
        <v>1460</v>
      </c>
      <c r="E47" s="688">
        <v>369</v>
      </c>
      <c r="F47" s="688">
        <v>332</v>
      </c>
      <c r="G47" s="688">
        <v>331</v>
      </c>
      <c r="H47" s="688">
        <v>348</v>
      </c>
      <c r="I47" s="688">
        <v>327</v>
      </c>
      <c r="J47" s="688">
        <v>352</v>
      </c>
      <c r="K47" s="688">
        <v>363</v>
      </c>
      <c r="L47" s="688">
        <v>333</v>
      </c>
      <c r="M47" s="688">
        <v>354</v>
      </c>
      <c r="N47" s="688">
        <v>361</v>
      </c>
      <c r="O47" s="688">
        <v>343</v>
      </c>
      <c r="P47" s="687">
        <v>350</v>
      </c>
      <c r="Q47" s="715">
        <v>4163</v>
      </c>
      <c r="R47" s="984"/>
      <c r="S47" s="984"/>
      <c r="T47" s="984"/>
      <c r="U47" s="697" t="s">
        <v>1460</v>
      </c>
      <c r="V47" s="688">
        <v>538</v>
      </c>
      <c r="W47" s="688">
        <v>91</v>
      </c>
      <c r="X47" s="688">
        <v>266</v>
      </c>
      <c r="Y47" s="688">
        <v>330</v>
      </c>
      <c r="Z47" s="688">
        <v>1010</v>
      </c>
      <c r="AA47" s="688">
        <v>820</v>
      </c>
      <c r="AB47" s="688">
        <v>237</v>
      </c>
      <c r="AC47" s="688">
        <v>356</v>
      </c>
      <c r="AD47" s="688">
        <v>118</v>
      </c>
      <c r="AE47" s="687">
        <v>397</v>
      </c>
      <c r="AF47" s="715">
        <v>4163</v>
      </c>
      <c r="AG47" s="678" t="s">
        <v>1456</v>
      </c>
    </row>
    <row r="48" spans="1:33" ht="21" customHeight="1" thickBot="1">
      <c r="A48" s="984"/>
      <c r="B48" s="984"/>
      <c r="C48" s="984"/>
      <c r="D48" s="695" t="s">
        <v>1459</v>
      </c>
      <c r="E48" s="727">
        <v>56</v>
      </c>
      <c r="F48" s="727">
        <v>116</v>
      </c>
      <c r="G48" s="727">
        <v>82</v>
      </c>
      <c r="H48" s="727">
        <v>72</v>
      </c>
      <c r="I48" s="727">
        <v>102</v>
      </c>
      <c r="J48" s="727">
        <v>89</v>
      </c>
      <c r="K48" s="727">
        <v>54</v>
      </c>
      <c r="L48" s="727">
        <v>98</v>
      </c>
      <c r="M48" s="727">
        <v>89</v>
      </c>
      <c r="N48" s="727">
        <v>57</v>
      </c>
      <c r="O48" s="727">
        <v>113</v>
      </c>
      <c r="P48" s="726">
        <v>81</v>
      </c>
      <c r="Q48" s="692">
        <v>1009</v>
      </c>
      <c r="R48" s="984"/>
      <c r="S48" s="984"/>
      <c r="T48" s="984"/>
      <c r="U48" s="695" t="s">
        <v>1459</v>
      </c>
      <c r="V48" s="727">
        <v>350</v>
      </c>
      <c r="W48" s="727">
        <v>27</v>
      </c>
      <c r="X48" s="727">
        <v>85</v>
      </c>
      <c r="Y48" s="727">
        <v>0</v>
      </c>
      <c r="Z48" s="727">
        <v>20</v>
      </c>
      <c r="AA48" s="727">
        <v>326</v>
      </c>
      <c r="AB48" s="727">
        <v>76</v>
      </c>
      <c r="AC48" s="727">
        <v>0</v>
      </c>
      <c r="AD48" s="727">
        <v>0</v>
      </c>
      <c r="AE48" s="726">
        <v>125</v>
      </c>
      <c r="AF48" s="692">
        <v>1009</v>
      </c>
      <c r="AG48" s="678" t="s">
        <v>1456</v>
      </c>
    </row>
    <row r="49" spans="1:33" ht="21" customHeight="1" thickTop="1">
      <c r="A49" s="984"/>
      <c r="B49" s="984"/>
      <c r="C49" s="984"/>
      <c r="D49" s="690" t="s">
        <v>1458</v>
      </c>
      <c r="E49" s="689">
        <v>429</v>
      </c>
      <c r="F49" s="689">
        <v>460</v>
      </c>
      <c r="G49" s="689">
        <v>455</v>
      </c>
      <c r="H49" s="689">
        <v>445</v>
      </c>
      <c r="I49" s="689">
        <v>469</v>
      </c>
      <c r="J49" s="689">
        <v>463</v>
      </c>
      <c r="K49" s="689">
        <v>426</v>
      </c>
      <c r="L49" s="689">
        <v>459</v>
      </c>
      <c r="M49" s="689">
        <v>450</v>
      </c>
      <c r="N49" s="689">
        <v>428</v>
      </c>
      <c r="O49" s="689">
        <v>463</v>
      </c>
      <c r="P49" s="689">
        <v>445</v>
      </c>
      <c r="Q49" s="708">
        <v>5392</v>
      </c>
      <c r="R49" s="984"/>
      <c r="S49" s="984"/>
      <c r="T49" s="984"/>
      <c r="U49" s="690" t="s">
        <v>1458</v>
      </c>
      <c r="V49" s="689">
        <v>912</v>
      </c>
      <c r="W49" s="689">
        <v>125</v>
      </c>
      <c r="X49" s="689">
        <v>359</v>
      </c>
      <c r="Y49" s="689">
        <v>360</v>
      </c>
      <c r="Z49" s="689">
        <v>1065</v>
      </c>
      <c r="AA49" s="689">
        <v>1189</v>
      </c>
      <c r="AB49" s="689">
        <v>338</v>
      </c>
      <c r="AC49" s="689">
        <v>372</v>
      </c>
      <c r="AD49" s="689">
        <v>139</v>
      </c>
      <c r="AE49" s="725">
        <v>533</v>
      </c>
      <c r="AF49" s="708">
        <v>5392</v>
      </c>
      <c r="AG49" s="678" t="s">
        <v>1456</v>
      </c>
    </row>
    <row r="50" spans="1:33" ht="21" customHeight="1" thickBot="1">
      <c r="A50" s="984"/>
      <c r="B50" s="984"/>
      <c r="C50" s="985"/>
      <c r="D50" s="684" t="s">
        <v>1457</v>
      </c>
      <c r="E50" s="704">
        <v>2</v>
      </c>
      <c r="F50" s="704">
        <v>3</v>
      </c>
      <c r="G50" s="704">
        <v>4</v>
      </c>
      <c r="H50" s="704">
        <v>8</v>
      </c>
      <c r="I50" s="704">
        <v>6</v>
      </c>
      <c r="J50" s="704">
        <v>5</v>
      </c>
      <c r="K50" s="704">
        <v>6</v>
      </c>
      <c r="L50" s="704">
        <v>5</v>
      </c>
      <c r="M50" s="704">
        <v>0</v>
      </c>
      <c r="N50" s="704">
        <v>1</v>
      </c>
      <c r="O50" s="704">
        <v>1</v>
      </c>
      <c r="P50" s="724">
        <v>1</v>
      </c>
      <c r="Q50" s="681">
        <v>42</v>
      </c>
      <c r="R50" s="984"/>
      <c r="S50" s="984"/>
      <c r="T50" s="985"/>
      <c r="U50" s="684" t="s">
        <v>1457</v>
      </c>
      <c r="V50" s="704">
        <v>1</v>
      </c>
      <c r="W50" s="704">
        <v>1</v>
      </c>
      <c r="X50" s="704">
        <v>0</v>
      </c>
      <c r="Y50" s="704">
        <v>1</v>
      </c>
      <c r="Z50" s="704">
        <v>26</v>
      </c>
      <c r="AA50" s="704">
        <v>13</v>
      </c>
      <c r="AB50" s="704">
        <v>0</v>
      </c>
      <c r="AC50" s="704">
        <v>0</v>
      </c>
      <c r="AD50" s="704">
        <v>0</v>
      </c>
      <c r="AE50" s="724">
        <v>0</v>
      </c>
      <c r="AF50" s="681">
        <v>42</v>
      </c>
      <c r="AG50" s="678" t="s">
        <v>1456</v>
      </c>
    </row>
    <row r="51" spans="1:33" ht="21" customHeight="1">
      <c r="A51" s="984"/>
      <c r="B51" s="984"/>
      <c r="C51" s="986" t="s">
        <v>1467</v>
      </c>
      <c r="D51" s="723" t="s">
        <v>1461</v>
      </c>
      <c r="E51" s="688">
        <v>12</v>
      </c>
      <c r="F51" s="688">
        <v>9</v>
      </c>
      <c r="G51" s="688">
        <v>13</v>
      </c>
      <c r="H51" s="688">
        <v>19</v>
      </c>
      <c r="I51" s="688">
        <v>9</v>
      </c>
      <c r="J51" s="688">
        <v>11</v>
      </c>
      <c r="K51" s="688">
        <v>13</v>
      </c>
      <c r="L51" s="688">
        <v>9</v>
      </c>
      <c r="M51" s="688">
        <v>10</v>
      </c>
      <c r="N51" s="688">
        <v>11</v>
      </c>
      <c r="O51" s="688">
        <v>9</v>
      </c>
      <c r="P51" s="687">
        <v>7</v>
      </c>
      <c r="Q51" s="708">
        <v>132</v>
      </c>
      <c r="R51" s="984"/>
      <c r="S51" s="984"/>
      <c r="T51" s="986" t="s">
        <v>1467</v>
      </c>
      <c r="U51" s="723" t="s">
        <v>1461</v>
      </c>
      <c r="V51" s="688">
        <v>14</v>
      </c>
      <c r="W51" s="688">
        <v>2</v>
      </c>
      <c r="X51" s="688">
        <v>2</v>
      </c>
      <c r="Y51" s="688">
        <v>2</v>
      </c>
      <c r="Z51" s="688">
        <v>9</v>
      </c>
      <c r="AA51" s="688">
        <v>0</v>
      </c>
      <c r="AB51" s="688">
        <v>32</v>
      </c>
      <c r="AC51" s="688">
        <v>0</v>
      </c>
      <c r="AD51" s="688">
        <v>71</v>
      </c>
      <c r="AE51" s="687">
        <v>0</v>
      </c>
      <c r="AF51" s="708">
        <v>132</v>
      </c>
      <c r="AG51" s="678" t="s">
        <v>1456</v>
      </c>
    </row>
    <row r="52" spans="1:33" ht="21" customHeight="1">
      <c r="A52" s="984"/>
      <c r="B52" s="984"/>
      <c r="C52" s="984"/>
      <c r="D52" s="697" t="s">
        <v>1460</v>
      </c>
      <c r="E52" s="688">
        <v>41</v>
      </c>
      <c r="F52" s="688">
        <v>56</v>
      </c>
      <c r="G52" s="688">
        <v>48</v>
      </c>
      <c r="H52" s="688">
        <v>41</v>
      </c>
      <c r="I52" s="688">
        <v>49</v>
      </c>
      <c r="J52" s="688">
        <v>48</v>
      </c>
      <c r="K52" s="688">
        <v>46</v>
      </c>
      <c r="L52" s="688">
        <v>53</v>
      </c>
      <c r="M52" s="688">
        <v>45</v>
      </c>
      <c r="N52" s="688">
        <v>47</v>
      </c>
      <c r="O52" s="688">
        <v>48</v>
      </c>
      <c r="P52" s="687">
        <v>48</v>
      </c>
      <c r="Q52" s="715">
        <v>570</v>
      </c>
      <c r="R52" s="984"/>
      <c r="S52" s="984"/>
      <c r="T52" s="984"/>
      <c r="U52" s="697" t="s">
        <v>1460</v>
      </c>
      <c r="V52" s="688">
        <v>190</v>
      </c>
      <c r="W52" s="688">
        <v>29</v>
      </c>
      <c r="X52" s="688">
        <v>48</v>
      </c>
      <c r="Y52" s="688">
        <v>14</v>
      </c>
      <c r="Z52" s="688">
        <v>27</v>
      </c>
      <c r="AA52" s="688">
        <v>0</v>
      </c>
      <c r="AB52" s="688">
        <v>144</v>
      </c>
      <c r="AC52" s="688">
        <v>0</v>
      </c>
      <c r="AD52" s="688">
        <v>118</v>
      </c>
      <c r="AE52" s="687">
        <v>0</v>
      </c>
      <c r="AF52" s="715">
        <v>570</v>
      </c>
      <c r="AG52" s="678" t="s">
        <v>1456</v>
      </c>
    </row>
    <row r="53" spans="1:33" ht="21" customHeight="1" thickBot="1">
      <c r="A53" s="984"/>
      <c r="B53" s="984"/>
      <c r="C53" s="984"/>
      <c r="D53" s="695" t="s">
        <v>1459</v>
      </c>
      <c r="E53" s="727">
        <v>3</v>
      </c>
      <c r="F53" s="727">
        <v>7</v>
      </c>
      <c r="G53" s="727">
        <v>0</v>
      </c>
      <c r="H53" s="727">
        <v>5</v>
      </c>
      <c r="I53" s="727">
        <v>4</v>
      </c>
      <c r="J53" s="727">
        <v>3</v>
      </c>
      <c r="K53" s="727">
        <v>8</v>
      </c>
      <c r="L53" s="727">
        <v>3</v>
      </c>
      <c r="M53" s="727">
        <v>1</v>
      </c>
      <c r="N53" s="727">
        <v>8</v>
      </c>
      <c r="O53" s="727">
        <v>5</v>
      </c>
      <c r="P53" s="726">
        <v>2</v>
      </c>
      <c r="Q53" s="692">
        <v>49</v>
      </c>
      <c r="R53" s="984"/>
      <c r="S53" s="984"/>
      <c r="T53" s="984"/>
      <c r="U53" s="695" t="s">
        <v>1459</v>
      </c>
      <c r="V53" s="694">
        <v>46</v>
      </c>
      <c r="W53" s="727">
        <v>0</v>
      </c>
      <c r="X53" s="727">
        <v>3</v>
      </c>
      <c r="Y53" s="727">
        <v>0</v>
      </c>
      <c r="Z53" s="727">
        <v>0</v>
      </c>
      <c r="AA53" s="727">
        <v>0</v>
      </c>
      <c r="AB53" s="727">
        <v>0</v>
      </c>
      <c r="AC53" s="727">
        <v>0</v>
      </c>
      <c r="AD53" s="727">
        <v>0</v>
      </c>
      <c r="AE53" s="726">
        <v>0</v>
      </c>
      <c r="AF53" s="692">
        <v>49</v>
      </c>
      <c r="AG53" s="678" t="s">
        <v>1456</v>
      </c>
    </row>
    <row r="54" spans="1:33" ht="21" customHeight="1" thickTop="1">
      <c r="A54" s="984"/>
      <c r="B54" s="984"/>
      <c r="C54" s="984"/>
      <c r="D54" s="690" t="s">
        <v>1458</v>
      </c>
      <c r="E54" s="689">
        <v>56</v>
      </c>
      <c r="F54" s="689">
        <v>72</v>
      </c>
      <c r="G54" s="689">
        <v>61</v>
      </c>
      <c r="H54" s="689">
        <v>65</v>
      </c>
      <c r="I54" s="689">
        <v>62</v>
      </c>
      <c r="J54" s="689">
        <v>62</v>
      </c>
      <c r="K54" s="689">
        <v>67</v>
      </c>
      <c r="L54" s="689">
        <v>65</v>
      </c>
      <c r="M54" s="689">
        <v>56</v>
      </c>
      <c r="N54" s="689">
        <v>66</v>
      </c>
      <c r="O54" s="689">
        <v>62</v>
      </c>
      <c r="P54" s="689">
        <v>57</v>
      </c>
      <c r="Q54" s="708">
        <v>751</v>
      </c>
      <c r="R54" s="984"/>
      <c r="S54" s="984"/>
      <c r="T54" s="984"/>
      <c r="U54" s="690" t="s">
        <v>1458</v>
      </c>
      <c r="V54" s="688">
        <v>250</v>
      </c>
      <c r="W54" s="689">
        <v>31</v>
      </c>
      <c r="X54" s="689">
        <v>53</v>
      </c>
      <c r="Y54" s="689">
        <v>16</v>
      </c>
      <c r="Z54" s="689">
        <v>36</v>
      </c>
      <c r="AA54" s="689">
        <v>0</v>
      </c>
      <c r="AB54" s="689">
        <v>176</v>
      </c>
      <c r="AC54" s="689">
        <v>0</v>
      </c>
      <c r="AD54" s="689">
        <v>189</v>
      </c>
      <c r="AE54" s="725">
        <v>0</v>
      </c>
      <c r="AF54" s="708">
        <v>751</v>
      </c>
      <c r="AG54" s="678" t="s">
        <v>1456</v>
      </c>
    </row>
    <row r="55" spans="1:33" ht="21" customHeight="1" thickBot="1">
      <c r="A55" s="984"/>
      <c r="B55" s="984"/>
      <c r="C55" s="984"/>
      <c r="D55" s="719" t="s">
        <v>1457</v>
      </c>
      <c r="E55" s="731">
        <v>0</v>
      </c>
      <c r="F55" s="731">
        <v>0</v>
      </c>
      <c r="G55" s="731">
        <v>0</v>
      </c>
      <c r="H55" s="731">
        <v>0</v>
      </c>
      <c r="I55" s="731">
        <v>0</v>
      </c>
      <c r="J55" s="731">
        <v>0</v>
      </c>
      <c r="K55" s="731">
        <v>0</v>
      </c>
      <c r="L55" s="731">
        <v>0</v>
      </c>
      <c r="M55" s="731">
        <v>0</v>
      </c>
      <c r="N55" s="731">
        <v>0</v>
      </c>
      <c r="O55" s="731">
        <v>0</v>
      </c>
      <c r="P55" s="730">
        <v>0</v>
      </c>
      <c r="Q55" s="681">
        <v>0</v>
      </c>
      <c r="R55" s="984"/>
      <c r="S55" s="984"/>
      <c r="T55" s="984"/>
      <c r="U55" s="719" t="s">
        <v>1457</v>
      </c>
      <c r="V55" s="688">
        <v>0</v>
      </c>
      <c r="W55" s="731">
        <v>0</v>
      </c>
      <c r="X55" s="731">
        <v>0</v>
      </c>
      <c r="Y55" s="731">
        <v>0</v>
      </c>
      <c r="Z55" s="731">
        <v>0</v>
      </c>
      <c r="AA55" s="731">
        <v>0</v>
      </c>
      <c r="AB55" s="731">
        <v>0</v>
      </c>
      <c r="AC55" s="731">
        <v>0</v>
      </c>
      <c r="AD55" s="731">
        <v>0</v>
      </c>
      <c r="AE55" s="730">
        <v>0</v>
      </c>
      <c r="AF55" s="681">
        <v>0</v>
      </c>
      <c r="AG55" s="678" t="s">
        <v>1456</v>
      </c>
    </row>
    <row r="56" spans="1:33" ht="21" customHeight="1">
      <c r="A56" s="984"/>
      <c r="B56" s="984"/>
      <c r="C56" s="983" t="s">
        <v>1466</v>
      </c>
      <c r="D56" s="698" t="s">
        <v>1461</v>
      </c>
      <c r="E56" s="729">
        <v>1</v>
      </c>
      <c r="F56" s="729">
        <v>6</v>
      </c>
      <c r="G56" s="729">
        <v>1</v>
      </c>
      <c r="H56" s="729">
        <v>1</v>
      </c>
      <c r="I56" s="729">
        <v>7</v>
      </c>
      <c r="J56" s="729">
        <v>1</v>
      </c>
      <c r="K56" s="729">
        <v>1</v>
      </c>
      <c r="L56" s="729">
        <v>6</v>
      </c>
      <c r="M56" s="729">
        <v>1</v>
      </c>
      <c r="N56" s="729">
        <v>1</v>
      </c>
      <c r="O56" s="729">
        <v>6</v>
      </c>
      <c r="P56" s="728">
        <v>1</v>
      </c>
      <c r="Q56" s="708">
        <v>33</v>
      </c>
      <c r="R56" s="984"/>
      <c r="S56" s="984"/>
      <c r="T56" s="983" t="s">
        <v>1466</v>
      </c>
      <c r="U56" s="698" t="s">
        <v>1461</v>
      </c>
      <c r="V56" s="729">
        <v>1</v>
      </c>
      <c r="W56" s="729">
        <v>0</v>
      </c>
      <c r="X56" s="729">
        <v>0</v>
      </c>
      <c r="Y56" s="729">
        <v>32</v>
      </c>
      <c r="Z56" s="729">
        <v>0</v>
      </c>
      <c r="AA56" s="729">
        <v>0</v>
      </c>
      <c r="AB56" s="729">
        <v>0</v>
      </c>
      <c r="AC56" s="729">
        <v>0</v>
      </c>
      <c r="AD56" s="729">
        <v>0</v>
      </c>
      <c r="AE56" s="728">
        <v>0</v>
      </c>
      <c r="AF56" s="708">
        <v>33</v>
      </c>
      <c r="AG56" s="678" t="s">
        <v>1456</v>
      </c>
    </row>
    <row r="57" spans="1:33" ht="21" customHeight="1">
      <c r="A57" s="984"/>
      <c r="B57" s="984"/>
      <c r="C57" s="984"/>
      <c r="D57" s="697" t="s">
        <v>1460</v>
      </c>
      <c r="E57" s="688">
        <v>9</v>
      </c>
      <c r="F57" s="688">
        <v>4</v>
      </c>
      <c r="G57" s="688">
        <v>9</v>
      </c>
      <c r="H57" s="688">
        <v>9</v>
      </c>
      <c r="I57" s="688">
        <v>3</v>
      </c>
      <c r="J57" s="688">
        <v>9</v>
      </c>
      <c r="K57" s="688">
        <v>9</v>
      </c>
      <c r="L57" s="688">
        <v>4</v>
      </c>
      <c r="M57" s="688">
        <v>9</v>
      </c>
      <c r="N57" s="688">
        <v>9</v>
      </c>
      <c r="O57" s="688">
        <v>4</v>
      </c>
      <c r="P57" s="687">
        <v>9</v>
      </c>
      <c r="Q57" s="715">
        <v>87</v>
      </c>
      <c r="R57" s="984"/>
      <c r="S57" s="984"/>
      <c r="T57" s="984"/>
      <c r="U57" s="697" t="s">
        <v>1460</v>
      </c>
      <c r="V57" s="688">
        <v>47</v>
      </c>
      <c r="W57" s="688">
        <v>0</v>
      </c>
      <c r="X57" s="688">
        <v>0</v>
      </c>
      <c r="Y57" s="688">
        <v>40</v>
      </c>
      <c r="Z57" s="688">
        <v>0</v>
      </c>
      <c r="AA57" s="688">
        <v>0</v>
      </c>
      <c r="AB57" s="688">
        <v>0</v>
      </c>
      <c r="AC57" s="688">
        <v>0</v>
      </c>
      <c r="AD57" s="688">
        <v>0</v>
      </c>
      <c r="AE57" s="687">
        <v>0</v>
      </c>
      <c r="AF57" s="715">
        <v>87</v>
      </c>
      <c r="AG57" s="678" t="s">
        <v>1456</v>
      </c>
    </row>
    <row r="58" spans="1:33" ht="21" customHeight="1" thickBot="1">
      <c r="A58" s="984"/>
      <c r="B58" s="984"/>
      <c r="C58" s="984"/>
      <c r="D58" s="695" t="s">
        <v>1459</v>
      </c>
      <c r="E58" s="727">
        <v>0</v>
      </c>
      <c r="F58" s="727">
        <v>17</v>
      </c>
      <c r="G58" s="727">
        <v>0</v>
      </c>
      <c r="H58" s="727">
        <v>0</v>
      </c>
      <c r="I58" s="727">
        <v>15</v>
      </c>
      <c r="J58" s="727">
        <v>0</v>
      </c>
      <c r="K58" s="727">
        <v>0</v>
      </c>
      <c r="L58" s="727">
        <v>17</v>
      </c>
      <c r="M58" s="727">
        <v>0</v>
      </c>
      <c r="N58" s="727">
        <v>0</v>
      </c>
      <c r="O58" s="727">
        <v>17</v>
      </c>
      <c r="P58" s="726">
        <v>0</v>
      </c>
      <c r="Q58" s="692">
        <v>66</v>
      </c>
      <c r="R58" s="984"/>
      <c r="S58" s="984"/>
      <c r="T58" s="984"/>
      <c r="U58" s="695" t="s">
        <v>1459</v>
      </c>
      <c r="V58" s="727">
        <v>66</v>
      </c>
      <c r="W58" s="727">
        <v>0</v>
      </c>
      <c r="X58" s="727">
        <v>0</v>
      </c>
      <c r="Y58" s="727">
        <v>0</v>
      </c>
      <c r="Z58" s="727">
        <v>0</v>
      </c>
      <c r="AA58" s="727">
        <v>0</v>
      </c>
      <c r="AB58" s="727">
        <v>0</v>
      </c>
      <c r="AC58" s="727">
        <v>0</v>
      </c>
      <c r="AD58" s="727">
        <v>0</v>
      </c>
      <c r="AE58" s="726">
        <v>0</v>
      </c>
      <c r="AF58" s="692">
        <v>66</v>
      </c>
      <c r="AG58" s="678" t="s">
        <v>1456</v>
      </c>
    </row>
    <row r="59" spans="1:33" ht="21" customHeight="1" thickTop="1">
      <c r="A59" s="984"/>
      <c r="B59" s="984"/>
      <c r="C59" s="984"/>
      <c r="D59" s="690" t="s">
        <v>1458</v>
      </c>
      <c r="E59" s="689">
        <v>10</v>
      </c>
      <c r="F59" s="689">
        <v>27</v>
      </c>
      <c r="G59" s="689">
        <v>10</v>
      </c>
      <c r="H59" s="689">
        <v>10</v>
      </c>
      <c r="I59" s="689">
        <v>25</v>
      </c>
      <c r="J59" s="689">
        <v>10</v>
      </c>
      <c r="K59" s="689">
        <v>10</v>
      </c>
      <c r="L59" s="689">
        <v>27</v>
      </c>
      <c r="M59" s="689">
        <v>10</v>
      </c>
      <c r="N59" s="689">
        <v>10</v>
      </c>
      <c r="O59" s="689">
        <v>27</v>
      </c>
      <c r="P59" s="689">
        <v>10</v>
      </c>
      <c r="Q59" s="708">
        <v>186</v>
      </c>
      <c r="R59" s="984"/>
      <c r="S59" s="984"/>
      <c r="T59" s="984"/>
      <c r="U59" s="690" t="s">
        <v>1458</v>
      </c>
      <c r="V59" s="689">
        <v>114</v>
      </c>
      <c r="W59" s="689">
        <v>0</v>
      </c>
      <c r="X59" s="689">
        <v>0</v>
      </c>
      <c r="Y59" s="689">
        <v>72</v>
      </c>
      <c r="Z59" s="689">
        <v>0</v>
      </c>
      <c r="AA59" s="689">
        <v>0</v>
      </c>
      <c r="AB59" s="689">
        <v>0</v>
      </c>
      <c r="AC59" s="689">
        <v>0</v>
      </c>
      <c r="AD59" s="689">
        <v>0</v>
      </c>
      <c r="AE59" s="725">
        <v>0</v>
      </c>
      <c r="AF59" s="708">
        <v>186</v>
      </c>
      <c r="AG59" s="678" t="s">
        <v>1456</v>
      </c>
    </row>
    <row r="60" spans="1:33" ht="21" customHeight="1" thickBot="1">
      <c r="A60" s="984"/>
      <c r="B60" s="985"/>
      <c r="C60" s="985"/>
      <c r="D60" s="684" t="s">
        <v>1457</v>
      </c>
      <c r="E60" s="704">
        <v>0</v>
      </c>
      <c r="F60" s="704">
        <v>0</v>
      </c>
      <c r="G60" s="704">
        <v>0</v>
      </c>
      <c r="H60" s="704">
        <v>0</v>
      </c>
      <c r="I60" s="704">
        <v>0</v>
      </c>
      <c r="J60" s="704">
        <v>0</v>
      </c>
      <c r="K60" s="704">
        <v>0</v>
      </c>
      <c r="L60" s="704">
        <v>0</v>
      </c>
      <c r="M60" s="704">
        <v>0</v>
      </c>
      <c r="N60" s="704">
        <v>0</v>
      </c>
      <c r="O60" s="704">
        <v>0</v>
      </c>
      <c r="P60" s="724">
        <v>0</v>
      </c>
      <c r="Q60" s="681">
        <v>0</v>
      </c>
      <c r="R60" s="984"/>
      <c r="S60" s="985"/>
      <c r="T60" s="985"/>
      <c r="U60" s="684" t="s">
        <v>1457</v>
      </c>
      <c r="V60" s="704">
        <v>0</v>
      </c>
      <c r="W60" s="704">
        <v>0</v>
      </c>
      <c r="X60" s="704">
        <v>0</v>
      </c>
      <c r="Y60" s="704">
        <v>0</v>
      </c>
      <c r="Z60" s="704">
        <v>0</v>
      </c>
      <c r="AA60" s="704">
        <v>0</v>
      </c>
      <c r="AB60" s="704">
        <v>0</v>
      </c>
      <c r="AC60" s="704">
        <v>0</v>
      </c>
      <c r="AD60" s="704">
        <v>0</v>
      </c>
      <c r="AE60" s="724">
        <v>0</v>
      </c>
      <c r="AF60" s="681">
        <v>0</v>
      </c>
      <c r="AG60" s="678" t="s">
        <v>1456</v>
      </c>
    </row>
    <row r="61" spans="1:33" ht="21" customHeight="1">
      <c r="A61" s="984"/>
      <c r="B61" s="986" t="s">
        <v>1465</v>
      </c>
      <c r="C61" s="987" t="s">
        <v>1464</v>
      </c>
      <c r="D61" s="723" t="s">
        <v>1461</v>
      </c>
      <c r="E61" s="688">
        <v>0</v>
      </c>
      <c r="F61" s="688">
        <v>3</v>
      </c>
      <c r="G61" s="688">
        <v>2</v>
      </c>
      <c r="H61" s="688">
        <v>5</v>
      </c>
      <c r="I61" s="688">
        <v>6</v>
      </c>
      <c r="J61" s="688">
        <v>1</v>
      </c>
      <c r="K61" s="688">
        <v>1</v>
      </c>
      <c r="L61" s="688">
        <v>0</v>
      </c>
      <c r="M61" s="688">
        <v>0</v>
      </c>
      <c r="N61" s="688">
        <v>4</v>
      </c>
      <c r="O61" s="688">
        <v>2</v>
      </c>
      <c r="P61" s="688">
        <v>0</v>
      </c>
      <c r="Q61" s="708">
        <v>24</v>
      </c>
      <c r="R61" s="984"/>
      <c r="S61" s="986" t="s">
        <v>1465</v>
      </c>
      <c r="T61" s="987" t="s">
        <v>1464</v>
      </c>
      <c r="U61" s="723" t="s">
        <v>1461</v>
      </c>
      <c r="V61" s="688">
        <v>11</v>
      </c>
      <c r="W61" s="688">
        <v>2</v>
      </c>
      <c r="X61" s="688">
        <v>0</v>
      </c>
      <c r="Y61" s="688">
        <v>5</v>
      </c>
      <c r="Z61" s="688">
        <v>0</v>
      </c>
      <c r="AA61" s="688">
        <v>0</v>
      </c>
      <c r="AB61" s="688">
        <v>1</v>
      </c>
      <c r="AC61" s="688">
        <v>1</v>
      </c>
      <c r="AD61" s="688">
        <v>1</v>
      </c>
      <c r="AE61" s="687">
        <v>3</v>
      </c>
      <c r="AF61" s="708">
        <v>24</v>
      </c>
      <c r="AG61" s="678" t="s">
        <v>1456</v>
      </c>
    </row>
    <row r="62" spans="1:33" ht="21" customHeight="1">
      <c r="A62" s="984"/>
      <c r="B62" s="984"/>
      <c r="C62" s="988"/>
      <c r="D62" s="697" t="s">
        <v>1460</v>
      </c>
      <c r="E62" s="688">
        <v>16</v>
      </c>
      <c r="F62" s="688">
        <v>18</v>
      </c>
      <c r="G62" s="688">
        <v>17</v>
      </c>
      <c r="H62" s="688">
        <v>13</v>
      </c>
      <c r="I62" s="688">
        <v>17</v>
      </c>
      <c r="J62" s="688">
        <v>17</v>
      </c>
      <c r="K62" s="688">
        <v>17</v>
      </c>
      <c r="L62" s="688">
        <v>15</v>
      </c>
      <c r="M62" s="688">
        <v>18</v>
      </c>
      <c r="N62" s="688">
        <v>14</v>
      </c>
      <c r="O62" s="688">
        <v>19</v>
      </c>
      <c r="P62" s="688">
        <v>17</v>
      </c>
      <c r="Q62" s="715">
        <v>198</v>
      </c>
      <c r="R62" s="984"/>
      <c r="S62" s="984"/>
      <c r="T62" s="988"/>
      <c r="U62" s="697" t="s">
        <v>1460</v>
      </c>
      <c r="V62" s="718">
        <v>34</v>
      </c>
      <c r="W62" s="717">
        <v>27</v>
      </c>
      <c r="X62" s="717">
        <v>3</v>
      </c>
      <c r="Y62" s="717">
        <v>45</v>
      </c>
      <c r="Z62" s="717">
        <v>0</v>
      </c>
      <c r="AA62" s="717">
        <v>4</v>
      </c>
      <c r="AB62" s="717">
        <v>0</v>
      </c>
      <c r="AC62" s="717">
        <v>10</v>
      </c>
      <c r="AD62" s="717">
        <v>12</v>
      </c>
      <c r="AE62" s="716">
        <v>63</v>
      </c>
      <c r="AF62" s="715">
        <v>198</v>
      </c>
      <c r="AG62" s="678" t="s">
        <v>1456</v>
      </c>
    </row>
    <row r="63" spans="1:33" ht="21" customHeight="1" thickBot="1">
      <c r="A63" s="984"/>
      <c r="B63" s="984"/>
      <c r="C63" s="988"/>
      <c r="D63" s="695" t="s">
        <v>1459</v>
      </c>
      <c r="E63" s="694">
        <v>4</v>
      </c>
      <c r="F63" s="714">
        <v>7</v>
      </c>
      <c r="G63" s="714">
        <v>1</v>
      </c>
      <c r="H63" s="714">
        <v>4</v>
      </c>
      <c r="I63" s="714">
        <v>2</v>
      </c>
      <c r="J63" s="714">
        <v>6</v>
      </c>
      <c r="K63" s="714">
        <v>5</v>
      </c>
      <c r="L63" s="714">
        <v>3</v>
      </c>
      <c r="M63" s="714">
        <v>1</v>
      </c>
      <c r="N63" s="714">
        <v>1</v>
      </c>
      <c r="O63" s="714">
        <v>5</v>
      </c>
      <c r="P63" s="713">
        <v>2</v>
      </c>
      <c r="Q63" s="692">
        <v>41</v>
      </c>
      <c r="R63" s="984"/>
      <c r="S63" s="984"/>
      <c r="T63" s="988"/>
      <c r="U63" s="695" t="s">
        <v>1459</v>
      </c>
      <c r="V63" s="712">
        <v>20</v>
      </c>
      <c r="W63" s="711">
        <v>3</v>
      </c>
      <c r="X63" s="711">
        <v>0</v>
      </c>
      <c r="Y63" s="711">
        <v>9</v>
      </c>
      <c r="Z63" s="711">
        <v>0</v>
      </c>
      <c r="AA63" s="711">
        <v>2</v>
      </c>
      <c r="AB63" s="711">
        <v>0</v>
      </c>
      <c r="AC63" s="711">
        <v>0</v>
      </c>
      <c r="AD63" s="711">
        <v>1</v>
      </c>
      <c r="AE63" s="710">
        <v>6</v>
      </c>
      <c r="AF63" s="709">
        <v>41</v>
      </c>
      <c r="AG63" s="678" t="s">
        <v>1456</v>
      </c>
    </row>
    <row r="64" spans="1:33" ht="21" customHeight="1" thickTop="1">
      <c r="A64" s="984"/>
      <c r="B64" s="984"/>
      <c r="C64" s="988"/>
      <c r="D64" s="690" t="s">
        <v>1458</v>
      </c>
      <c r="E64" s="722">
        <v>20</v>
      </c>
      <c r="F64" s="721">
        <v>28</v>
      </c>
      <c r="G64" s="721">
        <v>20</v>
      </c>
      <c r="H64" s="721">
        <v>22</v>
      </c>
      <c r="I64" s="721">
        <v>25</v>
      </c>
      <c r="J64" s="721">
        <v>24</v>
      </c>
      <c r="K64" s="721">
        <v>23</v>
      </c>
      <c r="L64" s="721">
        <v>18</v>
      </c>
      <c r="M64" s="721">
        <v>19</v>
      </c>
      <c r="N64" s="721">
        <v>19</v>
      </c>
      <c r="O64" s="721">
        <v>26</v>
      </c>
      <c r="P64" s="720">
        <v>19</v>
      </c>
      <c r="Q64" s="708">
        <v>263</v>
      </c>
      <c r="R64" s="984"/>
      <c r="S64" s="984"/>
      <c r="T64" s="988"/>
      <c r="U64" s="690" t="s">
        <v>1458</v>
      </c>
      <c r="V64" s="688">
        <v>65</v>
      </c>
      <c r="W64" s="688">
        <v>32</v>
      </c>
      <c r="X64" s="688">
        <v>3</v>
      </c>
      <c r="Y64" s="688">
        <v>59</v>
      </c>
      <c r="Z64" s="688">
        <v>0</v>
      </c>
      <c r="AA64" s="688">
        <v>6</v>
      </c>
      <c r="AB64" s="688">
        <v>1</v>
      </c>
      <c r="AC64" s="688">
        <v>11</v>
      </c>
      <c r="AD64" s="688">
        <v>14</v>
      </c>
      <c r="AE64" s="687">
        <v>72</v>
      </c>
      <c r="AF64" s="705">
        <v>263</v>
      </c>
      <c r="AG64" s="678" t="s">
        <v>1456</v>
      </c>
    </row>
    <row r="65" spans="1:34" ht="21" customHeight="1" thickBot="1">
      <c r="A65" s="984"/>
      <c r="B65" s="984"/>
      <c r="C65" s="989"/>
      <c r="D65" s="719" t="s">
        <v>1457</v>
      </c>
      <c r="E65" s="702">
        <v>0</v>
      </c>
      <c r="F65" s="701">
        <v>0</v>
      </c>
      <c r="G65" s="701">
        <v>0</v>
      </c>
      <c r="H65" s="701">
        <v>0</v>
      </c>
      <c r="I65" s="701">
        <v>0</v>
      </c>
      <c r="J65" s="701">
        <v>0</v>
      </c>
      <c r="K65" s="701">
        <v>1</v>
      </c>
      <c r="L65" s="701">
        <v>0</v>
      </c>
      <c r="M65" s="701">
        <v>0</v>
      </c>
      <c r="N65" s="701">
        <v>0</v>
      </c>
      <c r="O65" s="701">
        <v>0</v>
      </c>
      <c r="P65" s="700">
        <v>0</v>
      </c>
      <c r="Q65" s="681">
        <v>1</v>
      </c>
      <c r="R65" s="984"/>
      <c r="S65" s="984"/>
      <c r="T65" s="989"/>
      <c r="U65" s="719" t="s">
        <v>1457</v>
      </c>
      <c r="V65" s="683">
        <v>0</v>
      </c>
      <c r="W65" s="704">
        <v>0</v>
      </c>
      <c r="X65" s="704">
        <v>0</v>
      </c>
      <c r="Y65" s="704">
        <v>0</v>
      </c>
      <c r="Z65" s="704">
        <v>0</v>
      </c>
      <c r="AA65" s="704">
        <v>1</v>
      </c>
      <c r="AB65" s="704">
        <v>0</v>
      </c>
      <c r="AC65" s="704">
        <v>0</v>
      </c>
      <c r="AD65" s="704">
        <v>0</v>
      </c>
      <c r="AE65" s="703">
        <v>0</v>
      </c>
      <c r="AF65" s="681">
        <v>1</v>
      </c>
      <c r="AG65" s="678" t="s">
        <v>1456</v>
      </c>
    </row>
    <row r="66" spans="1:34" ht="21" customHeight="1">
      <c r="A66" s="984"/>
      <c r="B66" s="984"/>
      <c r="C66" s="983" t="s">
        <v>1463</v>
      </c>
      <c r="D66" s="698" t="s">
        <v>1461</v>
      </c>
      <c r="E66" s="688">
        <v>0</v>
      </c>
      <c r="F66" s="688">
        <v>3</v>
      </c>
      <c r="G66" s="688">
        <v>4</v>
      </c>
      <c r="H66" s="688">
        <v>6</v>
      </c>
      <c r="I66" s="688">
        <v>1</v>
      </c>
      <c r="J66" s="688">
        <v>0</v>
      </c>
      <c r="K66" s="688">
        <v>0</v>
      </c>
      <c r="L66" s="688">
        <v>0</v>
      </c>
      <c r="M66" s="688">
        <v>1</v>
      </c>
      <c r="N66" s="688">
        <v>5</v>
      </c>
      <c r="O66" s="688">
        <v>0</v>
      </c>
      <c r="P66" s="688">
        <v>0</v>
      </c>
      <c r="Q66" s="708">
        <v>20</v>
      </c>
      <c r="R66" s="984"/>
      <c r="S66" s="984"/>
      <c r="T66" s="983" t="s">
        <v>1463</v>
      </c>
      <c r="U66" s="698" t="s">
        <v>1461</v>
      </c>
      <c r="V66" s="688">
        <v>7</v>
      </c>
      <c r="W66" s="688">
        <v>0</v>
      </c>
      <c r="X66" s="688">
        <v>0</v>
      </c>
      <c r="Y66" s="688">
        <v>6</v>
      </c>
      <c r="Z66" s="688">
        <v>0</v>
      </c>
      <c r="AA66" s="688">
        <v>0</v>
      </c>
      <c r="AB66" s="688">
        <v>0</v>
      </c>
      <c r="AC66" s="688">
        <v>1</v>
      </c>
      <c r="AD66" s="688">
        <v>0</v>
      </c>
      <c r="AE66" s="687">
        <v>6</v>
      </c>
      <c r="AF66" s="696">
        <v>20</v>
      </c>
      <c r="AG66" s="678" t="s">
        <v>1456</v>
      </c>
    </row>
    <row r="67" spans="1:34" ht="21" customHeight="1">
      <c r="A67" s="984"/>
      <c r="B67" s="984"/>
      <c r="C67" s="984"/>
      <c r="D67" s="697" t="s">
        <v>1460</v>
      </c>
      <c r="E67" s="688">
        <v>34</v>
      </c>
      <c r="F67" s="688">
        <v>15</v>
      </c>
      <c r="G67" s="688">
        <v>19</v>
      </c>
      <c r="H67" s="688">
        <v>13</v>
      </c>
      <c r="I67" s="688">
        <v>23</v>
      </c>
      <c r="J67" s="688">
        <v>16</v>
      </c>
      <c r="K67" s="688">
        <v>48</v>
      </c>
      <c r="L67" s="688">
        <v>17</v>
      </c>
      <c r="M67" s="688">
        <v>25</v>
      </c>
      <c r="N67" s="688">
        <v>17</v>
      </c>
      <c r="O67" s="688">
        <v>24</v>
      </c>
      <c r="P67" s="688">
        <v>32</v>
      </c>
      <c r="Q67" s="715">
        <v>283</v>
      </c>
      <c r="R67" s="984"/>
      <c r="S67" s="984"/>
      <c r="T67" s="984"/>
      <c r="U67" s="697" t="s">
        <v>1460</v>
      </c>
      <c r="V67" s="718">
        <v>17</v>
      </c>
      <c r="W67" s="717">
        <v>0</v>
      </c>
      <c r="X67" s="717">
        <v>3</v>
      </c>
      <c r="Y67" s="717">
        <v>56</v>
      </c>
      <c r="Z67" s="717">
        <v>55</v>
      </c>
      <c r="AA67" s="717">
        <v>72</v>
      </c>
      <c r="AB67" s="717">
        <v>0</v>
      </c>
      <c r="AC67" s="717">
        <v>12</v>
      </c>
      <c r="AD67" s="717">
        <v>4</v>
      </c>
      <c r="AE67" s="716">
        <v>64</v>
      </c>
      <c r="AF67" s="715">
        <v>283</v>
      </c>
      <c r="AG67" s="678" t="s">
        <v>1456</v>
      </c>
    </row>
    <row r="68" spans="1:34" ht="21" customHeight="1" thickBot="1">
      <c r="A68" s="984"/>
      <c r="B68" s="984"/>
      <c r="C68" s="984"/>
      <c r="D68" s="695" t="s">
        <v>1459</v>
      </c>
      <c r="E68" s="694">
        <v>18</v>
      </c>
      <c r="F68" s="714">
        <v>0</v>
      </c>
      <c r="G68" s="714">
        <v>2</v>
      </c>
      <c r="H68" s="714">
        <v>6</v>
      </c>
      <c r="I68" s="714">
        <v>4</v>
      </c>
      <c r="J68" s="714">
        <v>0</v>
      </c>
      <c r="K68" s="714">
        <v>9</v>
      </c>
      <c r="L68" s="714">
        <v>2</v>
      </c>
      <c r="M68" s="714">
        <v>1</v>
      </c>
      <c r="N68" s="714">
        <v>2</v>
      </c>
      <c r="O68" s="714">
        <v>2</v>
      </c>
      <c r="P68" s="713">
        <v>0</v>
      </c>
      <c r="Q68" s="692">
        <v>46</v>
      </c>
      <c r="R68" s="984"/>
      <c r="S68" s="984"/>
      <c r="T68" s="984"/>
      <c r="U68" s="695" t="s">
        <v>1459</v>
      </c>
      <c r="V68" s="712">
        <v>11</v>
      </c>
      <c r="W68" s="711">
        <v>0</v>
      </c>
      <c r="X68" s="711">
        <v>0</v>
      </c>
      <c r="Y68" s="711">
        <v>9</v>
      </c>
      <c r="Z68" s="711">
        <v>1</v>
      </c>
      <c r="AA68" s="711">
        <v>21</v>
      </c>
      <c r="AB68" s="711">
        <v>0</v>
      </c>
      <c r="AC68" s="711">
        <v>0</v>
      </c>
      <c r="AD68" s="711">
        <v>0</v>
      </c>
      <c r="AE68" s="710">
        <v>4</v>
      </c>
      <c r="AF68" s="709">
        <v>46</v>
      </c>
      <c r="AG68" s="678" t="s">
        <v>1456</v>
      </c>
    </row>
    <row r="69" spans="1:34" ht="21" customHeight="1" thickTop="1">
      <c r="A69" s="984"/>
      <c r="B69" s="984"/>
      <c r="C69" s="984"/>
      <c r="D69" s="690" t="s">
        <v>1458</v>
      </c>
      <c r="E69" s="688">
        <v>52</v>
      </c>
      <c r="F69" s="688">
        <v>18</v>
      </c>
      <c r="G69" s="688">
        <v>25</v>
      </c>
      <c r="H69" s="688">
        <v>25</v>
      </c>
      <c r="I69" s="688">
        <v>28</v>
      </c>
      <c r="J69" s="688">
        <v>16</v>
      </c>
      <c r="K69" s="688">
        <v>57</v>
      </c>
      <c r="L69" s="688">
        <v>19</v>
      </c>
      <c r="M69" s="688">
        <v>27</v>
      </c>
      <c r="N69" s="688">
        <v>24</v>
      </c>
      <c r="O69" s="688">
        <v>26</v>
      </c>
      <c r="P69" s="688">
        <v>32</v>
      </c>
      <c r="Q69" s="708">
        <v>349</v>
      </c>
      <c r="R69" s="984"/>
      <c r="S69" s="984"/>
      <c r="T69" s="984"/>
      <c r="U69" s="690" t="s">
        <v>1458</v>
      </c>
      <c r="V69" s="707">
        <v>35</v>
      </c>
      <c r="W69" s="688">
        <v>0</v>
      </c>
      <c r="X69" s="688">
        <v>3</v>
      </c>
      <c r="Y69" s="688">
        <v>71</v>
      </c>
      <c r="Z69" s="688">
        <v>56</v>
      </c>
      <c r="AA69" s="688">
        <v>93</v>
      </c>
      <c r="AB69" s="688">
        <v>0</v>
      </c>
      <c r="AC69" s="688">
        <v>13</v>
      </c>
      <c r="AD69" s="688">
        <v>4</v>
      </c>
      <c r="AE69" s="706">
        <v>74</v>
      </c>
      <c r="AF69" s="705">
        <v>349</v>
      </c>
      <c r="AG69" s="678" t="s">
        <v>1456</v>
      </c>
    </row>
    <row r="70" spans="1:34" ht="21" customHeight="1" thickBot="1">
      <c r="A70" s="984"/>
      <c r="B70" s="984"/>
      <c r="C70" s="984"/>
      <c r="D70" s="684" t="s">
        <v>1457</v>
      </c>
      <c r="E70" s="683">
        <v>0</v>
      </c>
      <c r="F70" s="704">
        <v>0</v>
      </c>
      <c r="G70" s="704">
        <v>0</v>
      </c>
      <c r="H70" s="704">
        <v>2</v>
      </c>
      <c r="I70" s="704">
        <v>0</v>
      </c>
      <c r="J70" s="704">
        <v>0</v>
      </c>
      <c r="K70" s="704">
        <v>3</v>
      </c>
      <c r="L70" s="704">
        <v>0</v>
      </c>
      <c r="M70" s="704">
        <v>0</v>
      </c>
      <c r="N70" s="704">
        <v>0</v>
      </c>
      <c r="O70" s="704">
        <v>0</v>
      </c>
      <c r="P70" s="703">
        <v>2</v>
      </c>
      <c r="Q70" s="681">
        <v>7</v>
      </c>
      <c r="R70" s="984"/>
      <c r="S70" s="984"/>
      <c r="T70" s="984"/>
      <c r="U70" s="684" t="s">
        <v>1457</v>
      </c>
      <c r="V70" s="702">
        <v>0</v>
      </c>
      <c r="W70" s="701">
        <v>0</v>
      </c>
      <c r="X70" s="701">
        <v>0</v>
      </c>
      <c r="Y70" s="701">
        <v>1</v>
      </c>
      <c r="Z70" s="701">
        <v>1</v>
      </c>
      <c r="AA70" s="701">
        <v>5</v>
      </c>
      <c r="AB70" s="701">
        <v>0</v>
      </c>
      <c r="AC70" s="701">
        <v>0</v>
      </c>
      <c r="AD70" s="701">
        <v>0</v>
      </c>
      <c r="AE70" s="700">
        <v>0</v>
      </c>
      <c r="AF70" s="681">
        <v>7</v>
      </c>
      <c r="AG70" s="678" t="s">
        <v>1456</v>
      </c>
    </row>
    <row r="71" spans="1:34" ht="21" customHeight="1">
      <c r="A71" s="984"/>
      <c r="B71" s="990" t="s">
        <v>1462</v>
      </c>
      <c r="C71" s="991"/>
      <c r="D71" s="698" t="s">
        <v>1461</v>
      </c>
      <c r="E71" s="688">
        <v>48</v>
      </c>
      <c r="F71" s="688">
        <v>71</v>
      </c>
      <c r="G71" s="688">
        <v>101</v>
      </c>
      <c r="H71" s="688">
        <v>138</v>
      </c>
      <c r="I71" s="688">
        <v>122</v>
      </c>
      <c r="J71" s="688">
        <v>93</v>
      </c>
      <c r="K71" s="688">
        <v>75</v>
      </c>
      <c r="L71" s="688">
        <v>60</v>
      </c>
      <c r="M71" s="688">
        <v>47</v>
      </c>
      <c r="N71" s="688">
        <v>60</v>
      </c>
      <c r="O71" s="688">
        <v>53</v>
      </c>
      <c r="P71" s="687">
        <v>41</v>
      </c>
      <c r="Q71" s="699">
        <v>909</v>
      </c>
      <c r="R71" s="984"/>
      <c r="S71" s="990" t="s">
        <v>1462</v>
      </c>
      <c r="T71" s="991"/>
      <c r="U71" s="698" t="s">
        <v>1461</v>
      </c>
      <c r="V71" s="688">
        <v>123</v>
      </c>
      <c r="W71" s="688">
        <v>23</v>
      </c>
      <c r="X71" s="688">
        <v>66</v>
      </c>
      <c r="Y71" s="688">
        <v>137</v>
      </c>
      <c r="Z71" s="688">
        <v>92</v>
      </c>
      <c r="AA71" s="688">
        <v>44</v>
      </c>
      <c r="AB71" s="688">
        <v>163</v>
      </c>
      <c r="AC71" s="688">
        <v>27</v>
      </c>
      <c r="AD71" s="688">
        <v>179</v>
      </c>
      <c r="AE71" s="687">
        <v>55</v>
      </c>
      <c r="AF71" s="686">
        <v>909</v>
      </c>
      <c r="AG71" s="678" t="s">
        <v>1456</v>
      </c>
    </row>
    <row r="72" spans="1:34" ht="21" customHeight="1">
      <c r="A72" s="984"/>
      <c r="B72" s="992"/>
      <c r="C72" s="993"/>
      <c r="D72" s="697" t="s">
        <v>1460</v>
      </c>
      <c r="E72" s="688">
        <v>976</v>
      </c>
      <c r="F72" s="688">
        <v>926</v>
      </c>
      <c r="G72" s="688">
        <v>918</v>
      </c>
      <c r="H72" s="688">
        <v>884</v>
      </c>
      <c r="I72" s="688">
        <v>870</v>
      </c>
      <c r="J72" s="688">
        <v>909</v>
      </c>
      <c r="K72" s="688">
        <v>975</v>
      </c>
      <c r="L72" s="688">
        <v>936</v>
      </c>
      <c r="M72" s="688">
        <v>956</v>
      </c>
      <c r="N72" s="688">
        <v>958</v>
      </c>
      <c r="O72" s="688">
        <v>939</v>
      </c>
      <c r="P72" s="687">
        <v>971</v>
      </c>
      <c r="Q72" s="686">
        <v>11218</v>
      </c>
      <c r="R72" s="984"/>
      <c r="S72" s="992"/>
      <c r="T72" s="993"/>
      <c r="U72" s="697" t="s">
        <v>1460</v>
      </c>
      <c r="V72" s="688">
        <v>1963</v>
      </c>
      <c r="W72" s="688">
        <v>555</v>
      </c>
      <c r="X72" s="688">
        <v>1297</v>
      </c>
      <c r="Y72" s="688">
        <v>1167</v>
      </c>
      <c r="Z72" s="688">
        <v>2233</v>
      </c>
      <c r="AA72" s="688">
        <v>943</v>
      </c>
      <c r="AB72" s="688">
        <v>703</v>
      </c>
      <c r="AC72" s="688">
        <v>561</v>
      </c>
      <c r="AD72" s="688">
        <v>599</v>
      </c>
      <c r="AE72" s="687">
        <v>1197</v>
      </c>
      <c r="AF72" s="686">
        <v>11218</v>
      </c>
      <c r="AG72" s="678" t="s">
        <v>1456</v>
      </c>
    </row>
    <row r="73" spans="1:34" ht="21" customHeight="1" thickBot="1">
      <c r="A73" s="984"/>
      <c r="B73" s="992"/>
      <c r="C73" s="993"/>
      <c r="D73" s="695" t="s">
        <v>1459</v>
      </c>
      <c r="E73" s="694">
        <v>280</v>
      </c>
      <c r="F73" s="694">
        <v>308</v>
      </c>
      <c r="G73" s="694">
        <v>227</v>
      </c>
      <c r="H73" s="694">
        <v>277</v>
      </c>
      <c r="I73" s="694">
        <v>287</v>
      </c>
      <c r="J73" s="694">
        <v>203</v>
      </c>
      <c r="K73" s="694">
        <v>275</v>
      </c>
      <c r="L73" s="694">
        <v>310</v>
      </c>
      <c r="M73" s="694">
        <v>235</v>
      </c>
      <c r="N73" s="694">
        <v>280</v>
      </c>
      <c r="O73" s="694">
        <v>317</v>
      </c>
      <c r="P73" s="693">
        <v>225</v>
      </c>
      <c r="Q73" s="696">
        <v>3224</v>
      </c>
      <c r="R73" s="984"/>
      <c r="S73" s="992"/>
      <c r="T73" s="993"/>
      <c r="U73" s="695" t="s">
        <v>1459</v>
      </c>
      <c r="V73" s="694">
        <v>1635</v>
      </c>
      <c r="W73" s="694">
        <v>173</v>
      </c>
      <c r="X73" s="694">
        <v>429</v>
      </c>
      <c r="Y73" s="694">
        <v>18</v>
      </c>
      <c r="Z73" s="694">
        <v>32</v>
      </c>
      <c r="AA73" s="694">
        <v>375</v>
      </c>
      <c r="AB73" s="694">
        <v>166</v>
      </c>
      <c r="AC73" s="694">
        <v>0</v>
      </c>
      <c r="AD73" s="694">
        <v>12</v>
      </c>
      <c r="AE73" s="693">
        <v>384</v>
      </c>
      <c r="AF73" s="692">
        <v>3224</v>
      </c>
      <c r="AG73" s="678" t="s">
        <v>1456</v>
      </c>
    </row>
    <row r="74" spans="1:34" ht="21" customHeight="1" thickTop="1">
      <c r="A74" s="984"/>
      <c r="B74" s="992"/>
      <c r="C74" s="993"/>
      <c r="D74" s="690" t="s">
        <v>1458</v>
      </c>
      <c r="E74" s="689">
        <v>1304</v>
      </c>
      <c r="F74" s="689">
        <v>1305</v>
      </c>
      <c r="G74" s="689">
        <v>1246</v>
      </c>
      <c r="H74" s="689">
        <v>1299</v>
      </c>
      <c r="I74" s="689">
        <v>1279</v>
      </c>
      <c r="J74" s="689">
        <v>1205</v>
      </c>
      <c r="K74" s="689">
        <v>1325</v>
      </c>
      <c r="L74" s="689">
        <v>1306</v>
      </c>
      <c r="M74" s="689">
        <v>1238</v>
      </c>
      <c r="N74" s="689">
        <v>1298</v>
      </c>
      <c r="O74" s="689">
        <v>1309</v>
      </c>
      <c r="P74" s="689">
        <v>1237</v>
      </c>
      <c r="Q74" s="691">
        <v>15351</v>
      </c>
      <c r="R74" s="984"/>
      <c r="S74" s="992"/>
      <c r="T74" s="993"/>
      <c r="U74" s="690" t="s">
        <v>1458</v>
      </c>
      <c r="V74" s="689">
        <v>3721</v>
      </c>
      <c r="W74" s="688">
        <v>751</v>
      </c>
      <c r="X74" s="688">
        <v>1792</v>
      </c>
      <c r="Y74" s="688">
        <v>1322</v>
      </c>
      <c r="Z74" s="688">
        <v>2357</v>
      </c>
      <c r="AA74" s="688">
        <v>1362</v>
      </c>
      <c r="AB74" s="688">
        <v>1032</v>
      </c>
      <c r="AC74" s="688">
        <v>588</v>
      </c>
      <c r="AD74" s="688">
        <v>790</v>
      </c>
      <c r="AE74" s="687">
        <v>1636</v>
      </c>
      <c r="AF74" s="686">
        <v>15351</v>
      </c>
      <c r="AG74" s="678" t="s">
        <v>1456</v>
      </c>
    </row>
    <row r="75" spans="1:34" ht="21" customHeight="1" thickBot="1">
      <c r="A75" s="985"/>
      <c r="B75" s="994"/>
      <c r="C75" s="995"/>
      <c r="D75" s="684" t="s">
        <v>1457</v>
      </c>
      <c r="E75" s="683">
        <v>4</v>
      </c>
      <c r="F75" s="683">
        <v>3</v>
      </c>
      <c r="G75" s="683">
        <v>6</v>
      </c>
      <c r="H75" s="683">
        <v>17</v>
      </c>
      <c r="I75" s="683">
        <v>10</v>
      </c>
      <c r="J75" s="683">
        <v>6</v>
      </c>
      <c r="K75" s="683">
        <v>10</v>
      </c>
      <c r="L75" s="683">
        <v>9</v>
      </c>
      <c r="M75" s="683">
        <v>0</v>
      </c>
      <c r="N75" s="683">
        <v>2</v>
      </c>
      <c r="O75" s="683">
        <v>2</v>
      </c>
      <c r="P75" s="682">
        <v>3</v>
      </c>
      <c r="Q75" s="685">
        <v>72</v>
      </c>
      <c r="R75" s="985"/>
      <c r="S75" s="994"/>
      <c r="T75" s="995"/>
      <c r="U75" s="684" t="s">
        <v>1457</v>
      </c>
      <c r="V75" s="683">
        <v>1</v>
      </c>
      <c r="W75" s="683">
        <v>7</v>
      </c>
      <c r="X75" s="683">
        <v>0</v>
      </c>
      <c r="Y75" s="683">
        <v>3</v>
      </c>
      <c r="Z75" s="683">
        <v>38</v>
      </c>
      <c r="AA75" s="683">
        <v>19</v>
      </c>
      <c r="AB75" s="683">
        <v>0</v>
      </c>
      <c r="AC75" s="683">
        <v>0</v>
      </c>
      <c r="AD75" s="683">
        <v>1</v>
      </c>
      <c r="AE75" s="682">
        <v>3</v>
      </c>
      <c r="AF75" s="681">
        <v>72</v>
      </c>
      <c r="AG75" s="678" t="s">
        <v>1456</v>
      </c>
      <c r="AH75" s="680"/>
    </row>
    <row r="76" spans="1:34" ht="16.5" customHeight="1">
      <c r="A76" s="996" t="s">
        <v>1454</v>
      </c>
      <c r="B76" s="996"/>
      <c r="C76" s="996"/>
      <c r="D76" s="996"/>
      <c r="E76" s="998" t="s">
        <v>1455</v>
      </c>
      <c r="F76" s="998"/>
      <c r="G76" s="998"/>
      <c r="H76" s="998"/>
      <c r="I76" s="998"/>
      <c r="J76" s="998"/>
      <c r="K76" s="998"/>
      <c r="L76" s="998"/>
      <c r="M76" s="998"/>
      <c r="N76" s="998"/>
      <c r="O76" s="998"/>
      <c r="P76" s="998"/>
      <c r="Q76" s="998"/>
      <c r="R76" s="996" t="s">
        <v>1454</v>
      </c>
      <c r="S76" s="996"/>
      <c r="T76" s="996"/>
      <c r="U76" s="996"/>
      <c r="V76" s="998" t="s">
        <v>1453</v>
      </c>
      <c r="W76" s="998"/>
      <c r="X76" s="998"/>
      <c r="Y76" s="998"/>
      <c r="Z76" s="998"/>
      <c r="AA76" s="998"/>
      <c r="AB76" s="998"/>
      <c r="AC76" s="998"/>
      <c r="AD76" s="998"/>
      <c r="AE76" s="998"/>
      <c r="AF76" s="998"/>
      <c r="AG76" s="1000"/>
      <c r="AH76" s="1000"/>
    </row>
    <row r="77" spans="1:34" ht="16.5" customHeight="1">
      <c r="A77" s="997"/>
      <c r="B77" s="997"/>
      <c r="C77" s="997"/>
      <c r="D77" s="997"/>
      <c r="E77" s="999" t="s">
        <v>1452</v>
      </c>
      <c r="F77" s="999"/>
      <c r="G77" s="999"/>
      <c r="H77" s="999"/>
      <c r="I77" s="999"/>
      <c r="J77" s="999"/>
      <c r="K77" s="999"/>
      <c r="L77" s="999"/>
      <c r="M77" s="999"/>
      <c r="N77" s="999"/>
      <c r="O77" s="999"/>
      <c r="P77" s="999"/>
      <c r="Q77" s="999"/>
      <c r="R77" s="997"/>
      <c r="S77" s="997"/>
      <c r="T77" s="997"/>
      <c r="U77" s="997"/>
      <c r="V77" s="999" t="s">
        <v>1451</v>
      </c>
      <c r="W77" s="999"/>
      <c r="X77" s="999"/>
      <c r="Y77" s="999"/>
      <c r="Z77" s="999"/>
      <c r="AA77" s="999"/>
      <c r="AB77" s="999"/>
      <c r="AC77" s="999"/>
      <c r="AD77" s="999"/>
      <c r="AE77" s="999"/>
      <c r="AF77" s="999"/>
      <c r="AG77" s="999"/>
      <c r="AH77" s="999"/>
    </row>
    <row r="78" spans="1:34" ht="16.5" customHeight="1">
      <c r="A78" s="997"/>
      <c r="B78" s="997"/>
      <c r="C78" s="997"/>
      <c r="D78" s="997"/>
      <c r="E78" s="999" t="s">
        <v>1450</v>
      </c>
      <c r="F78" s="999"/>
      <c r="G78" s="999"/>
      <c r="H78" s="999"/>
      <c r="I78" s="999"/>
      <c r="J78" s="999"/>
      <c r="K78" s="999"/>
      <c r="L78" s="999"/>
      <c r="M78" s="999"/>
      <c r="N78" s="999"/>
      <c r="O78" s="999"/>
      <c r="P78" s="999"/>
      <c r="Q78" s="999"/>
      <c r="R78" s="997"/>
      <c r="S78" s="997"/>
      <c r="T78" s="997"/>
      <c r="U78" s="997"/>
      <c r="V78" s="999" t="s">
        <v>1450</v>
      </c>
      <c r="W78" s="999"/>
      <c r="X78" s="999"/>
      <c r="Y78" s="999"/>
      <c r="Z78" s="999"/>
      <c r="AA78" s="999"/>
      <c r="AB78" s="999"/>
      <c r="AC78" s="999"/>
      <c r="AD78" s="999"/>
      <c r="AE78" s="999"/>
      <c r="AF78" s="999"/>
      <c r="AG78" s="999"/>
      <c r="AH78" s="999"/>
    </row>
    <row r="79" spans="1:34" ht="16.5" customHeight="1">
      <c r="A79" s="997"/>
      <c r="B79" s="997"/>
      <c r="C79" s="997"/>
      <c r="D79" s="997"/>
      <c r="E79" s="999" t="s">
        <v>1449</v>
      </c>
      <c r="F79" s="999"/>
      <c r="G79" s="999"/>
      <c r="H79" s="999"/>
      <c r="I79" s="999"/>
      <c r="J79" s="999"/>
      <c r="K79" s="999"/>
      <c r="L79" s="999"/>
      <c r="M79" s="999"/>
      <c r="N79" s="999"/>
      <c r="O79" s="999"/>
      <c r="P79" s="999"/>
      <c r="Q79" s="999"/>
      <c r="R79" s="997"/>
      <c r="S79" s="997"/>
      <c r="T79" s="997"/>
      <c r="U79" s="997"/>
      <c r="V79" s="999" t="s">
        <v>1449</v>
      </c>
      <c r="W79" s="999"/>
      <c r="X79" s="999"/>
      <c r="Y79" s="999"/>
      <c r="Z79" s="999"/>
      <c r="AA79" s="999"/>
      <c r="AB79" s="999"/>
      <c r="AC79" s="999"/>
      <c r="AD79" s="999"/>
      <c r="AE79" s="999"/>
      <c r="AF79" s="999"/>
      <c r="AG79" s="999"/>
      <c r="AH79" s="999"/>
    </row>
  </sheetData>
  <mergeCells count="53">
    <mergeCell ref="V78:AH78"/>
    <mergeCell ref="E79:Q79"/>
    <mergeCell ref="V79:AH79"/>
    <mergeCell ref="T66:T70"/>
    <mergeCell ref="V76:AH76"/>
    <mergeCell ref="V77:AH77"/>
    <mergeCell ref="S61:S70"/>
    <mergeCell ref="T61:T65"/>
    <mergeCell ref="B36:C40"/>
    <mergeCell ref="S36:T40"/>
    <mergeCell ref="T41:T45"/>
    <mergeCell ref="T46:T50"/>
    <mergeCell ref="T51:T55"/>
    <mergeCell ref="A76:D79"/>
    <mergeCell ref="E76:Q76"/>
    <mergeCell ref="R76:U79"/>
    <mergeCell ref="E77:Q77"/>
    <mergeCell ref="E78:Q78"/>
    <mergeCell ref="A41:A75"/>
    <mergeCell ref="B41:B60"/>
    <mergeCell ref="C41:C45"/>
    <mergeCell ref="R41:R75"/>
    <mergeCell ref="S41:S60"/>
    <mergeCell ref="B71:C75"/>
    <mergeCell ref="S71:T75"/>
    <mergeCell ref="T56:T60"/>
    <mergeCell ref="C46:C50"/>
    <mergeCell ref="C51:C55"/>
    <mergeCell ref="C56:C60"/>
    <mergeCell ref="B61:B70"/>
    <mergeCell ref="C61:C65"/>
    <mergeCell ref="C66:C70"/>
    <mergeCell ref="B26:B35"/>
    <mergeCell ref="C26:C30"/>
    <mergeCell ref="S26:S35"/>
    <mergeCell ref="T26:T30"/>
    <mergeCell ref="C31:C35"/>
    <mergeCell ref="B2:Q2"/>
    <mergeCell ref="A5:D5"/>
    <mergeCell ref="R5:U5"/>
    <mergeCell ref="A6:A40"/>
    <mergeCell ref="B6:B25"/>
    <mergeCell ref="C6:C10"/>
    <mergeCell ref="R6:R40"/>
    <mergeCell ref="T31:T35"/>
    <mergeCell ref="S6:S25"/>
    <mergeCell ref="T6:T10"/>
    <mergeCell ref="C11:C15"/>
    <mergeCell ref="T11:T15"/>
    <mergeCell ref="C16:C20"/>
    <mergeCell ref="T16:T20"/>
    <mergeCell ref="C21:C25"/>
    <mergeCell ref="T21:T25"/>
  </mergeCells>
  <phoneticPr fontId="6"/>
  <printOptions horizontalCentered="1"/>
  <pageMargins left="0.98425196850393704" right="0.59055118110236227" top="0.75" bottom="0.31496062992125984" header="0" footer="0"/>
  <pageSetup paperSize="9" scale="47" orientation="portrait" r:id="rId1"/>
  <headerFooter alignWithMargins="0"/>
  <colBreaks count="1" manualBreakCount="1">
    <brk id="17" max="78"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8054CD-3198-4D09-850C-F7077A5663BA}">
  <dimension ref="A1:I20"/>
  <sheetViews>
    <sheetView view="pageBreakPreview" zoomScale="85" zoomScaleNormal="100" zoomScaleSheetLayoutView="85" workbookViewId="0"/>
  </sheetViews>
  <sheetFormatPr defaultColWidth="9" defaultRowHeight="14"/>
  <cols>
    <col min="1" max="6" width="14" style="2525" customWidth="1"/>
    <col min="7" max="16384" width="9" style="2525"/>
  </cols>
  <sheetData>
    <row r="1" spans="1:6" ht="18" customHeight="1">
      <c r="A1" s="2524" t="s">
        <v>1491</v>
      </c>
    </row>
    <row r="2" spans="1:6" ht="104" customHeight="1">
      <c r="A2" s="2526" t="s">
        <v>2270</v>
      </c>
      <c r="B2" s="2526"/>
      <c r="C2" s="2526"/>
      <c r="D2" s="2526"/>
      <c r="E2" s="2526"/>
      <c r="F2" s="2526"/>
    </row>
    <row r="3" spans="1:6" ht="22.5" customHeight="1">
      <c r="A3" s="2527"/>
      <c r="B3" s="2528"/>
      <c r="C3" s="2528"/>
      <c r="D3" s="2528"/>
      <c r="E3" s="2529"/>
    </row>
    <row r="4" spans="1:6" ht="60" customHeight="1">
      <c r="A4" s="2530" t="s">
        <v>581</v>
      </c>
      <c r="B4" s="2531" t="s">
        <v>1492</v>
      </c>
      <c r="C4" s="2531" t="s">
        <v>1493</v>
      </c>
      <c r="D4" s="2531" t="s">
        <v>1494</v>
      </c>
      <c r="E4" s="2531" t="s">
        <v>1495</v>
      </c>
      <c r="F4" s="2531" t="s">
        <v>1496</v>
      </c>
    </row>
    <row r="5" spans="1:6" ht="33.75" customHeight="1">
      <c r="A5" s="2530" t="s">
        <v>507</v>
      </c>
      <c r="B5" s="2532">
        <v>306</v>
      </c>
      <c r="C5" s="2532">
        <v>286</v>
      </c>
      <c r="D5" s="2533">
        <f t="shared" ref="D5:D14" si="0">C5/B5*100</f>
        <v>93.464052287581694</v>
      </c>
      <c r="E5" s="2532">
        <v>103</v>
      </c>
      <c r="F5" s="2533">
        <f t="shared" ref="F5:F13" si="1">E5/C5*100</f>
        <v>36.013986013986013</v>
      </c>
    </row>
    <row r="6" spans="1:6" ht="33.75" customHeight="1">
      <c r="A6" s="2530" t="s">
        <v>704</v>
      </c>
      <c r="B6" s="2532">
        <v>235</v>
      </c>
      <c r="C6" s="2532">
        <v>169</v>
      </c>
      <c r="D6" s="2533">
        <f t="shared" si="0"/>
        <v>71.914893617021278</v>
      </c>
      <c r="E6" s="2532">
        <v>79</v>
      </c>
      <c r="F6" s="2533">
        <f t="shared" si="1"/>
        <v>46.745562130177518</v>
      </c>
    </row>
    <row r="7" spans="1:6" ht="33.75" customHeight="1">
      <c r="A7" s="2530" t="s">
        <v>711</v>
      </c>
      <c r="B7" s="2532">
        <v>259</v>
      </c>
      <c r="C7" s="2532">
        <v>211</v>
      </c>
      <c r="D7" s="2533">
        <f t="shared" si="0"/>
        <v>81.467181467181476</v>
      </c>
      <c r="E7" s="2532">
        <v>80</v>
      </c>
      <c r="F7" s="2533">
        <f t="shared" si="1"/>
        <v>37.914691943127963</v>
      </c>
    </row>
    <row r="8" spans="1:6" ht="33.75" customHeight="1">
      <c r="A8" s="2530" t="s">
        <v>512</v>
      </c>
      <c r="B8" s="2532">
        <v>117</v>
      </c>
      <c r="C8" s="2532">
        <v>105</v>
      </c>
      <c r="D8" s="2533">
        <f t="shared" si="0"/>
        <v>89.743589743589752</v>
      </c>
      <c r="E8" s="2532">
        <v>45</v>
      </c>
      <c r="F8" s="2533">
        <f t="shared" si="1"/>
        <v>42.857142857142854</v>
      </c>
    </row>
    <row r="9" spans="1:6" ht="33.75" customHeight="1">
      <c r="A9" s="2530" t="s">
        <v>737</v>
      </c>
      <c r="B9" s="2532">
        <v>102</v>
      </c>
      <c r="C9" s="2532">
        <v>69</v>
      </c>
      <c r="D9" s="2533">
        <f t="shared" si="0"/>
        <v>67.64705882352942</v>
      </c>
      <c r="E9" s="2532">
        <v>24</v>
      </c>
      <c r="F9" s="2533">
        <f t="shared" si="1"/>
        <v>34.782608695652172</v>
      </c>
    </row>
    <row r="10" spans="1:6" ht="33.75" customHeight="1">
      <c r="A10" s="2530" t="s">
        <v>745</v>
      </c>
      <c r="B10" s="2532">
        <v>21</v>
      </c>
      <c r="C10" s="2532">
        <v>21</v>
      </c>
      <c r="D10" s="2533">
        <f t="shared" si="0"/>
        <v>100</v>
      </c>
      <c r="E10" s="2532">
        <v>12</v>
      </c>
      <c r="F10" s="2533">
        <f t="shared" si="1"/>
        <v>57.142857142857139</v>
      </c>
    </row>
    <row r="11" spans="1:6" ht="33.75" customHeight="1">
      <c r="A11" s="2530" t="s">
        <v>516</v>
      </c>
      <c r="B11" s="2532">
        <v>474</v>
      </c>
      <c r="C11" s="2532">
        <v>380</v>
      </c>
      <c r="D11" s="2533">
        <f t="shared" si="0"/>
        <v>80.168776371308013</v>
      </c>
      <c r="E11" s="2532">
        <v>134</v>
      </c>
      <c r="F11" s="2533">
        <f>E11/C11*100</f>
        <v>35.263157894736842</v>
      </c>
    </row>
    <row r="12" spans="1:6" ht="33.75" customHeight="1">
      <c r="A12" s="2530" t="s">
        <v>520</v>
      </c>
      <c r="B12" s="2532">
        <v>50</v>
      </c>
      <c r="C12" s="2532">
        <v>38</v>
      </c>
      <c r="D12" s="2533">
        <f t="shared" si="0"/>
        <v>76</v>
      </c>
      <c r="E12" s="2532">
        <v>13</v>
      </c>
      <c r="F12" s="2533">
        <f t="shared" si="1"/>
        <v>34.210526315789473</v>
      </c>
    </row>
    <row r="13" spans="1:6" ht="33.75" customHeight="1">
      <c r="A13" s="2530" t="s">
        <v>255</v>
      </c>
      <c r="B13" s="2532">
        <v>645</v>
      </c>
      <c r="C13" s="2532">
        <v>538</v>
      </c>
      <c r="D13" s="2533">
        <f t="shared" si="0"/>
        <v>83.410852713178301</v>
      </c>
      <c r="E13" s="2532">
        <v>191</v>
      </c>
      <c r="F13" s="2533">
        <f t="shared" si="1"/>
        <v>35.501858736059475</v>
      </c>
    </row>
    <row r="14" spans="1:6" ht="33.75" customHeight="1">
      <c r="A14" s="2534" t="s">
        <v>768</v>
      </c>
      <c r="B14" s="2532">
        <v>68</v>
      </c>
      <c r="C14" s="2532">
        <v>60</v>
      </c>
      <c r="D14" s="2533">
        <f t="shared" si="0"/>
        <v>88.235294117647058</v>
      </c>
      <c r="E14" s="2532">
        <v>21</v>
      </c>
      <c r="F14" s="2533">
        <f>E14/C14*100</f>
        <v>35</v>
      </c>
    </row>
    <row r="15" spans="1:6" ht="33.75" customHeight="1">
      <c r="A15" s="2530" t="s">
        <v>1497</v>
      </c>
      <c r="B15" s="2535">
        <f>SUM(B5:B14)</f>
        <v>2277</v>
      </c>
      <c r="C15" s="2535">
        <f>SUM(C5:C14)</f>
        <v>1877</v>
      </c>
      <c r="D15" s="2536">
        <f>C15/B15*100</f>
        <v>82.433025911286791</v>
      </c>
      <c r="E15" s="2535">
        <f>SUM(E5:E14)</f>
        <v>702</v>
      </c>
      <c r="F15" s="2536">
        <f>E15/C15*100</f>
        <v>37.400106553010119</v>
      </c>
    </row>
    <row r="16" spans="1:6" ht="33.75" customHeight="1">
      <c r="A16" s="2537" t="s">
        <v>1498</v>
      </c>
      <c r="B16" s="2537"/>
      <c r="C16" s="2537"/>
      <c r="D16" s="2537"/>
      <c r="E16" s="2537"/>
      <c r="F16" s="2537"/>
    </row>
    <row r="17" spans="1:9" ht="33.75" customHeight="1">
      <c r="A17" s="2538" t="s">
        <v>1499</v>
      </c>
    </row>
    <row r="18" spans="1:9" ht="33.75" customHeight="1">
      <c r="A18" s="2530" t="s">
        <v>1500</v>
      </c>
      <c r="B18" s="2532">
        <v>1867</v>
      </c>
      <c r="C18" s="2532">
        <v>1512</v>
      </c>
      <c r="D18" s="2533">
        <f>C18/B18*100</f>
        <v>80.985538296732727</v>
      </c>
      <c r="E18" s="2532">
        <v>556</v>
      </c>
      <c r="F18" s="2533">
        <f>E18/C18*100</f>
        <v>36.772486772486772</v>
      </c>
    </row>
    <row r="19" spans="1:9" ht="33.75" customHeight="1">
      <c r="A19" s="2530" t="s">
        <v>1501</v>
      </c>
      <c r="B19" s="2532">
        <v>410</v>
      </c>
      <c r="C19" s="2532">
        <v>365</v>
      </c>
      <c r="D19" s="2533">
        <f t="shared" ref="D19" si="2">C19/B19*100</f>
        <v>89.024390243902445</v>
      </c>
      <c r="E19" s="2532">
        <v>146</v>
      </c>
      <c r="F19" s="2533">
        <f>E19/C19*100</f>
        <v>40</v>
      </c>
      <c r="I19" s="2539"/>
    </row>
    <row r="20" spans="1:9" ht="27" customHeight="1"/>
  </sheetData>
  <mergeCells count="2">
    <mergeCell ref="A2:F2"/>
    <mergeCell ref="A16:F16"/>
  </mergeCells>
  <phoneticPr fontId="6"/>
  <printOptions horizontalCentered="1"/>
  <pageMargins left="0.98425196850393704" right="0.59055118110236227" top="0.78740157480314965" bottom="0.78740157480314965" header="0" footer="0"/>
  <pageSetup paperSize="9"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8F5944-2C1A-44F6-8F88-95952570B835}">
  <sheetPr>
    <pageSetUpPr fitToPage="1"/>
  </sheetPr>
  <dimension ref="A1:P77"/>
  <sheetViews>
    <sheetView view="pageBreakPreview" zoomScale="70" zoomScaleNormal="100" zoomScaleSheetLayoutView="70" workbookViewId="0"/>
  </sheetViews>
  <sheetFormatPr defaultColWidth="9" defaultRowHeight="13"/>
  <cols>
    <col min="1" max="1" width="24.7265625" customWidth="1"/>
    <col min="2" max="2" width="29.7265625" customWidth="1"/>
    <col min="3" max="3" width="3.7265625" customWidth="1"/>
    <col min="4" max="4" width="15.453125" customWidth="1"/>
    <col min="5" max="5" width="19.90625" customWidth="1"/>
    <col min="6" max="6" width="1.7265625" customWidth="1"/>
    <col min="7" max="7" width="4.6328125" customWidth="1"/>
    <col min="8" max="8" width="28.6328125" style="2589" customWidth="1"/>
    <col min="9" max="9" width="57.6328125" customWidth="1"/>
    <col min="10" max="10" width="9.7265625" customWidth="1"/>
    <col min="11" max="11" width="0.90625" customWidth="1"/>
    <col min="12" max="12" width="4.6328125" customWidth="1"/>
    <col min="13" max="13" width="28.36328125" customWidth="1"/>
    <col min="14" max="14" width="57.6328125" customWidth="1"/>
    <col min="15" max="15" width="9.453125" customWidth="1"/>
    <col min="16" max="16" width="21.08984375" customWidth="1"/>
    <col min="17" max="17" width="49.6328125" customWidth="1"/>
    <col min="18" max="18" width="11.7265625" customWidth="1"/>
    <col min="257" max="257" width="24.7265625" customWidth="1"/>
    <col min="258" max="258" width="29.7265625" customWidth="1"/>
    <col min="259" max="259" width="3.7265625" customWidth="1"/>
    <col min="260" max="260" width="15.453125" customWidth="1"/>
    <col min="261" max="261" width="19.90625" customWidth="1"/>
    <col min="262" max="262" width="1.7265625" customWidth="1"/>
    <col min="263" max="263" width="4.6328125" customWidth="1"/>
    <col min="264" max="264" width="28.6328125" customWidth="1"/>
    <col min="265" max="265" width="57.6328125" customWidth="1"/>
    <col min="266" max="266" width="9.7265625" customWidth="1"/>
    <col min="267" max="267" width="0.90625" customWidth="1"/>
    <col min="268" max="268" width="4.6328125" customWidth="1"/>
    <col min="269" max="269" width="28.36328125" customWidth="1"/>
    <col min="270" max="270" width="57.6328125" customWidth="1"/>
    <col min="271" max="271" width="9.453125" customWidth="1"/>
    <col min="272" max="272" width="21.08984375" customWidth="1"/>
    <col min="273" max="273" width="49.6328125" customWidth="1"/>
    <col min="274" max="274" width="11.7265625" customWidth="1"/>
    <col min="513" max="513" width="24.7265625" customWidth="1"/>
    <col min="514" max="514" width="29.7265625" customWidth="1"/>
    <col min="515" max="515" width="3.7265625" customWidth="1"/>
    <col min="516" max="516" width="15.453125" customWidth="1"/>
    <col min="517" max="517" width="19.90625" customWidth="1"/>
    <col min="518" max="518" width="1.7265625" customWidth="1"/>
    <col min="519" max="519" width="4.6328125" customWidth="1"/>
    <col min="520" max="520" width="28.6328125" customWidth="1"/>
    <col min="521" max="521" width="57.6328125" customWidth="1"/>
    <col min="522" max="522" width="9.7265625" customWidth="1"/>
    <col min="523" max="523" width="0.90625" customWidth="1"/>
    <col min="524" max="524" width="4.6328125" customWidth="1"/>
    <col min="525" max="525" width="28.36328125" customWidth="1"/>
    <col min="526" max="526" width="57.6328125" customWidth="1"/>
    <col min="527" max="527" width="9.453125" customWidth="1"/>
    <col min="528" max="528" width="21.08984375" customWidth="1"/>
    <col min="529" max="529" width="49.6328125" customWidth="1"/>
    <col min="530" max="530" width="11.7265625" customWidth="1"/>
    <col min="769" max="769" width="24.7265625" customWidth="1"/>
    <col min="770" max="770" width="29.7265625" customWidth="1"/>
    <col min="771" max="771" width="3.7265625" customWidth="1"/>
    <col min="772" max="772" width="15.453125" customWidth="1"/>
    <col min="773" max="773" width="19.90625" customWidth="1"/>
    <col min="774" max="774" width="1.7265625" customWidth="1"/>
    <col min="775" max="775" width="4.6328125" customWidth="1"/>
    <col min="776" max="776" width="28.6328125" customWidth="1"/>
    <col min="777" max="777" width="57.6328125" customWidth="1"/>
    <col min="778" max="778" width="9.7265625" customWidth="1"/>
    <col min="779" max="779" width="0.90625" customWidth="1"/>
    <col min="780" max="780" width="4.6328125" customWidth="1"/>
    <col min="781" max="781" width="28.36328125" customWidth="1"/>
    <col min="782" max="782" width="57.6328125" customWidth="1"/>
    <col min="783" max="783" width="9.453125" customWidth="1"/>
    <col min="784" max="784" width="21.08984375" customWidth="1"/>
    <col min="785" max="785" width="49.6328125" customWidth="1"/>
    <col min="786" max="786" width="11.7265625" customWidth="1"/>
    <col min="1025" max="1025" width="24.7265625" customWidth="1"/>
    <col min="1026" max="1026" width="29.7265625" customWidth="1"/>
    <col min="1027" max="1027" width="3.7265625" customWidth="1"/>
    <col min="1028" max="1028" width="15.453125" customWidth="1"/>
    <col min="1029" max="1029" width="19.90625" customWidth="1"/>
    <col min="1030" max="1030" width="1.7265625" customWidth="1"/>
    <col min="1031" max="1031" width="4.6328125" customWidth="1"/>
    <col min="1032" max="1032" width="28.6328125" customWidth="1"/>
    <col min="1033" max="1033" width="57.6328125" customWidth="1"/>
    <col min="1034" max="1034" width="9.7265625" customWidth="1"/>
    <col min="1035" max="1035" width="0.90625" customWidth="1"/>
    <col min="1036" max="1036" width="4.6328125" customWidth="1"/>
    <col min="1037" max="1037" width="28.36328125" customWidth="1"/>
    <col min="1038" max="1038" width="57.6328125" customWidth="1"/>
    <col min="1039" max="1039" width="9.453125" customWidth="1"/>
    <col min="1040" max="1040" width="21.08984375" customWidth="1"/>
    <col min="1041" max="1041" width="49.6328125" customWidth="1"/>
    <col min="1042" max="1042" width="11.7265625" customWidth="1"/>
    <col min="1281" max="1281" width="24.7265625" customWidth="1"/>
    <col min="1282" max="1282" width="29.7265625" customWidth="1"/>
    <col min="1283" max="1283" width="3.7265625" customWidth="1"/>
    <col min="1284" max="1284" width="15.453125" customWidth="1"/>
    <col min="1285" max="1285" width="19.90625" customWidth="1"/>
    <col min="1286" max="1286" width="1.7265625" customWidth="1"/>
    <col min="1287" max="1287" width="4.6328125" customWidth="1"/>
    <col min="1288" max="1288" width="28.6328125" customWidth="1"/>
    <col min="1289" max="1289" width="57.6328125" customWidth="1"/>
    <col min="1290" max="1290" width="9.7265625" customWidth="1"/>
    <col min="1291" max="1291" width="0.90625" customWidth="1"/>
    <col min="1292" max="1292" width="4.6328125" customWidth="1"/>
    <col min="1293" max="1293" width="28.36328125" customWidth="1"/>
    <col min="1294" max="1294" width="57.6328125" customWidth="1"/>
    <col min="1295" max="1295" width="9.453125" customWidth="1"/>
    <col min="1296" max="1296" width="21.08984375" customWidth="1"/>
    <col min="1297" max="1297" width="49.6328125" customWidth="1"/>
    <col min="1298" max="1298" width="11.7265625" customWidth="1"/>
    <col min="1537" max="1537" width="24.7265625" customWidth="1"/>
    <col min="1538" max="1538" width="29.7265625" customWidth="1"/>
    <col min="1539" max="1539" width="3.7265625" customWidth="1"/>
    <col min="1540" max="1540" width="15.453125" customWidth="1"/>
    <col min="1541" max="1541" width="19.90625" customWidth="1"/>
    <col min="1542" max="1542" width="1.7265625" customWidth="1"/>
    <col min="1543" max="1543" width="4.6328125" customWidth="1"/>
    <col min="1544" max="1544" width="28.6328125" customWidth="1"/>
    <col min="1545" max="1545" width="57.6328125" customWidth="1"/>
    <col min="1546" max="1546" width="9.7265625" customWidth="1"/>
    <col min="1547" max="1547" width="0.90625" customWidth="1"/>
    <col min="1548" max="1548" width="4.6328125" customWidth="1"/>
    <col min="1549" max="1549" width="28.36328125" customWidth="1"/>
    <col min="1550" max="1550" width="57.6328125" customWidth="1"/>
    <col min="1551" max="1551" width="9.453125" customWidth="1"/>
    <col min="1552" max="1552" width="21.08984375" customWidth="1"/>
    <col min="1553" max="1553" width="49.6328125" customWidth="1"/>
    <col min="1554" max="1554" width="11.7265625" customWidth="1"/>
    <col min="1793" max="1793" width="24.7265625" customWidth="1"/>
    <col min="1794" max="1794" width="29.7265625" customWidth="1"/>
    <col min="1795" max="1795" width="3.7265625" customWidth="1"/>
    <col min="1796" max="1796" width="15.453125" customWidth="1"/>
    <col min="1797" max="1797" width="19.90625" customWidth="1"/>
    <col min="1798" max="1798" width="1.7265625" customWidth="1"/>
    <col min="1799" max="1799" width="4.6328125" customWidth="1"/>
    <col min="1800" max="1800" width="28.6328125" customWidth="1"/>
    <col min="1801" max="1801" width="57.6328125" customWidth="1"/>
    <col min="1802" max="1802" width="9.7265625" customWidth="1"/>
    <col min="1803" max="1803" width="0.90625" customWidth="1"/>
    <col min="1804" max="1804" width="4.6328125" customWidth="1"/>
    <col min="1805" max="1805" width="28.36328125" customWidth="1"/>
    <col min="1806" max="1806" width="57.6328125" customWidth="1"/>
    <col min="1807" max="1807" width="9.453125" customWidth="1"/>
    <col min="1808" max="1808" width="21.08984375" customWidth="1"/>
    <col min="1809" max="1809" width="49.6328125" customWidth="1"/>
    <col min="1810" max="1810" width="11.7265625" customWidth="1"/>
    <col min="2049" max="2049" width="24.7265625" customWidth="1"/>
    <col min="2050" max="2050" width="29.7265625" customWidth="1"/>
    <col min="2051" max="2051" width="3.7265625" customWidth="1"/>
    <col min="2052" max="2052" width="15.453125" customWidth="1"/>
    <col min="2053" max="2053" width="19.90625" customWidth="1"/>
    <col min="2054" max="2054" width="1.7265625" customWidth="1"/>
    <col min="2055" max="2055" width="4.6328125" customWidth="1"/>
    <col min="2056" max="2056" width="28.6328125" customWidth="1"/>
    <col min="2057" max="2057" width="57.6328125" customWidth="1"/>
    <col min="2058" max="2058" width="9.7265625" customWidth="1"/>
    <col min="2059" max="2059" width="0.90625" customWidth="1"/>
    <col min="2060" max="2060" width="4.6328125" customWidth="1"/>
    <col min="2061" max="2061" width="28.36328125" customWidth="1"/>
    <col min="2062" max="2062" width="57.6328125" customWidth="1"/>
    <col min="2063" max="2063" width="9.453125" customWidth="1"/>
    <col min="2064" max="2064" width="21.08984375" customWidth="1"/>
    <col min="2065" max="2065" width="49.6328125" customWidth="1"/>
    <col min="2066" max="2066" width="11.7265625" customWidth="1"/>
    <col min="2305" max="2305" width="24.7265625" customWidth="1"/>
    <col min="2306" max="2306" width="29.7265625" customWidth="1"/>
    <col min="2307" max="2307" width="3.7265625" customWidth="1"/>
    <col min="2308" max="2308" width="15.453125" customWidth="1"/>
    <col min="2309" max="2309" width="19.90625" customWidth="1"/>
    <col min="2310" max="2310" width="1.7265625" customWidth="1"/>
    <col min="2311" max="2311" width="4.6328125" customWidth="1"/>
    <col min="2312" max="2312" width="28.6328125" customWidth="1"/>
    <col min="2313" max="2313" width="57.6328125" customWidth="1"/>
    <col min="2314" max="2314" width="9.7265625" customWidth="1"/>
    <col min="2315" max="2315" width="0.90625" customWidth="1"/>
    <col min="2316" max="2316" width="4.6328125" customWidth="1"/>
    <col min="2317" max="2317" width="28.36328125" customWidth="1"/>
    <col min="2318" max="2318" width="57.6328125" customWidth="1"/>
    <col min="2319" max="2319" width="9.453125" customWidth="1"/>
    <col min="2320" max="2320" width="21.08984375" customWidth="1"/>
    <col min="2321" max="2321" width="49.6328125" customWidth="1"/>
    <col min="2322" max="2322" width="11.7265625" customWidth="1"/>
    <col min="2561" max="2561" width="24.7265625" customWidth="1"/>
    <col min="2562" max="2562" width="29.7265625" customWidth="1"/>
    <col min="2563" max="2563" width="3.7265625" customWidth="1"/>
    <col min="2564" max="2564" width="15.453125" customWidth="1"/>
    <col min="2565" max="2565" width="19.90625" customWidth="1"/>
    <col min="2566" max="2566" width="1.7265625" customWidth="1"/>
    <col min="2567" max="2567" width="4.6328125" customWidth="1"/>
    <col min="2568" max="2568" width="28.6328125" customWidth="1"/>
    <col min="2569" max="2569" width="57.6328125" customWidth="1"/>
    <col min="2570" max="2570" width="9.7265625" customWidth="1"/>
    <col min="2571" max="2571" width="0.90625" customWidth="1"/>
    <col min="2572" max="2572" width="4.6328125" customWidth="1"/>
    <col min="2573" max="2573" width="28.36328125" customWidth="1"/>
    <col min="2574" max="2574" width="57.6328125" customWidth="1"/>
    <col min="2575" max="2575" width="9.453125" customWidth="1"/>
    <col min="2576" max="2576" width="21.08984375" customWidth="1"/>
    <col min="2577" max="2577" width="49.6328125" customWidth="1"/>
    <col min="2578" max="2578" width="11.7265625" customWidth="1"/>
    <col min="2817" max="2817" width="24.7265625" customWidth="1"/>
    <col min="2818" max="2818" width="29.7265625" customWidth="1"/>
    <col min="2819" max="2819" width="3.7265625" customWidth="1"/>
    <col min="2820" max="2820" width="15.453125" customWidth="1"/>
    <col min="2821" max="2821" width="19.90625" customWidth="1"/>
    <col min="2822" max="2822" width="1.7265625" customWidth="1"/>
    <col min="2823" max="2823" width="4.6328125" customWidth="1"/>
    <col min="2824" max="2824" width="28.6328125" customWidth="1"/>
    <col min="2825" max="2825" width="57.6328125" customWidth="1"/>
    <col min="2826" max="2826" width="9.7265625" customWidth="1"/>
    <col min="2827" max="2827" width="0.90625" customWidth="1"/>
    <col min="2828" max="2828" width="4.6328125" customWidth="1"/>
    <col min="2829" max="2829" width="28.36328125" customWidth="1"/>
    <col min="2830" max="2830" width="57.6328125" customWidth="1"/>
    <col min="2831" max="2831" width="9.453125" customWidth="1"/>
    <col min="2832" max="2832" width="21.08984375" customWidth="1"/>
    <col min="2833" max="2833" width="49.6328125" customWidth="1"/>
    <col min="2834" max="2834" width="11.7265625" customWidth="1"/>
    <col min="3073" max="3073" width="24.7265625" customWidth="1"/>
    <col min="3074" max="3074" width="29.7265625" customWidth="1"/>
    <col min="3075" max="3075" width="3.7265625" customWidth="1"/>
    <col min="3076" max="3076" width="15.453125" customWidth="1"/>
    <col min="3077" max="3077" width="19.90625" customWidth="1"/>
    <col min="3078" max="3078" width="1.7265625" customWidth="1"/>
    <col min="3079" max="3079" width="4.6328125" customWidth="1"/>
    <col min="3080" max="3080" width="28.6328125" customWidth="1"/>
    <col min="3081" max="3081" width="57.6328125" customWidth="1"/>
    <col min="3082" max="3082" width="9.7265625" customWidth="1"/>
    <col min="3083" max="3083" width="0.90625" customWidth="1"/>
    <col min="3084" max="3084" width="4.6328125" customWidth="1"/>
    <col min="3085" max="3085" width="28.36328125" customWidth="1"/>
    <col min="3086" max="3086" width="57.6328125" customWidth="1"/>
    <col min="3087" max="3087" width="9.453125" customWidth="1"/>
    <col min="3088" max="3088" width="21.08984375" customWidth="1"/>
    <col min="3089" max="3089" width="49.6328125" customWidth="1"/>
    <col min="3090" max="3090" width="11.7265625" customWidth="1"/>
    <col min="3329" max="3329" width="24.7265625" customWidth="1"/>
    <col min="3330" max="3330" width="29.7265625" customWidth="1"/>
    <col min="3331" max="3331" width="3.7265625" customWidth="1"/>
    <col min="3332" max="3332" width="15.453125" customWidth="1"/>
    <col min="3333" max="3333" width="19.90625" customWidth="1"/>
    <col min="3334" max="3334" width="1.7265625" customWidth="1"/>
    <col min="3335" max="3335" width="4.6328125" customWidth="1"/>
    <col min="3336" max="3336" width="28.6328125" customWidth="1"/>
    <col min="3337" max="3337" width="57.6328125" customWidth="1"/>
    <col min="3338" max="3338" width="9.7265625" customWidth="1"/>
    <col min="3339" max="3339" width="0.90625" customWidth="1"/>
    <col min="3340" max="3340" width="4.6328125" customWidth="1"/>
    <col min="3341" max="3341" width="28.36328125" customWidth="1"/>
    <col min="3342" max="3342" width="57.6328125" customWidth="1"/>
    <col min="3343" max="3343" width="9.453125" customWidth="1"/>
    <col min="3344" max="3344" width="21.08984375" customWidth="1"/>
    <col min="3345" max="3345" width="49.6328125" customWidth="1"/>
    <col min="3346" max="3346" width="11.7265625" customWidth="1"/>
    <col min="3585" max="3585" width="24.7265625" customWidth="1"/>
    <col min="3586" max="3586" width="29.7265625" customWidth="1"/>
    <col min="3587" max="3587" width="3.7265625" customWidth="1"/>
    <col min="3588" max="3588" width="15.453125" customWidth="1"/>
    <col min="3589" max="3589" width="19.90625" customWidth="1"/>
    <col min="3590" max="3590" width="1.7265625" customWidth="1"/>
    <col min="3591" max="3591" width="4.6328125" customWidth="1"/>
    <col min="3592" max="3592" width="28.6328125" customWidth="1"/>
    <col min="3593" max="3593" width="57.6328125" customWidth="1"/>
    <col min="3594" max="3594" width="9.7265625" customWidth="1"/>
    <col min="3595" max="3595" width="0.90625" customWidth="1"/>
    <col min="3596" max="3596" width="4.6328125" customWidth="1"/>
    <col min="3597" max="3597" width="28.36328125" customWidth="1"/>
    <col min="3598" max="3598" width="57.6328125" customWidth="1"/>
    <col min="3599" max="3599" width="9.453125" customWidth="1"/>
    <col min="3600" max="3600" width="21.08984375" customWidth="1"/>
    <col min="3601" max="3601" width="49.6328125" customWidth="1"/>
    <col min="3602" max="3602" width="11.7265625" customWidth="1"/>
    <col min="3841" max="3841" width="24.7265625" customWidth="1"/>
    <col min="3842" max="3842" width="29.7265625" customWidth="1"/>
    <col min="3843" max="3843" width="3.7265625" customWidth="1"/>
    <col min="3844" max="3844" width="15.453125" customWidth="1"/>
    <col min="3845" max="3845" width="19.90625" customWidth="1"/>
    <col min="3846" max="3846" width="1.7265625" customWidth="1"/>
    <col min="3847" max="3847" width="4.6328125" customWidth="1"/>
    <col min="3848" max="3848" width="28.6328125" customWidth="1"/>
    <col min="3849" max="3849" width="57.6328125" customWidth="1"/>
    <col min="3850" max="3850" width="9.7265625" customWidth="1"/>
    <col min="3851" max="3851" width="0.90625" customWidth="1"/>
    <col min="3852" max="3852" width="4.6328125" customWidth="1"/>
    <col min="3853" max="3853" width="28.36328125" customWidth="1"/>
    <col min="3854" max="3854" width="57.6328125" customWidth="1"/>
    <col min="3855" max="3855" width="9.453125" customWidth="1"/>
    <col min="3856" max="3856" width="21.08984375" customWidth="1"/>
    <col min="3857" max="3857" width="49.6328125" customWidth="1"/>
    <col min="3858" max="3858" width="11.7265625" customWidth="1"/>
    <col min="4097" max="4097" width="24.7265625" customWidth="1"/>
    <col min="4098" max="4098" width="29.7265625" customWidth="1"/>
    <col min="4099" max="4099" width="3.7265625" customWidth="1"/>
    <col min="4100" max="4100" width="15.453125" customWidth="1"/>
    <col min="4101" max="4101" width="19.90625" customWidth="1"/>
    <col min="4102" max="4102" width="1.7265625" customWidth="1"/>
    <col min="4103" max="4103" width="4.6328125" customWidth="1"/>
    <col min="4104" max="4104" width="28.6328125" customWidth="1"/>
    <col min="4105" max="4105" width="57.6328125" customWidth="1"/>
    <col min="4106" max="4106" width="9.7265625" customWidth="1"/>
    <col min="4107" max="4107" width="0.90625" customWidth="1"/>
    <col min="4108" max="4108" width="4.6328125" customWidth="1"/>
    <col min="4109" max="4109" width="28.36328125" customWidth="1"/>
    <col min="4110" max="4110" width="57.6328125" customWidth="1"/>
    <col min="4111" max="4111" width="9.453125" customWidth="1"/>
    <col min="4112" max="4112" width="21.08984375" customWidth="1"/>
    <col min="4113" max="4113" width="49.6328125" customWidth="1"/>
    <col min="4114" max="4114" width="11.7265625" customWidth="1"/>
    <col min="4353" max="4353" width="24.7265625" customWidth="1"/>
    <col min="4354" max="4354" width="29.7265625" customWidth="1"/>
    <col min="4355" max="4355" width="3.7265625" customWidth="1"/>
    <col min="4356" max="4356" width="15.453125" customWidth="1"/>
    <col min="4357" max="4357" width="19.90625" customWidth="1"/>
    <col min="4358" max="4358" width="1.7265625" customWidth="1"/>
    <col min="4359" max="4359" width="4.6328125" customWidth="1"/>
    <col min="4360" max="4360" width="28.6328125" customWidth="1"/>
    <col min="4361" max="4361" width="57.6328125" customWidth="1"/>
    <col min="4362" max="4362" width="9.7265625" customWidth="1"/>
    <col min="4363" max="4363" width="0.90625" customWidth="1"/>
    <col min="4364" max="4364" width="4.6328125" customWidth="1"/>
    <col min="4365" max="4365" width="28.36328125" customWidth="1"/>
    <col min="4366" max="4366" width="57.6328125" customWidth="1"/>
    <col min="4367" max="4367" width="9.453125" customWidth="1"/>
    <col min="4368" max="4368" width="21.08984375" customWidth="1"/>
    <col min="4369" max="4369" width="49.6328125" customWidth="1"/>
    <col min="4370" max="4370" width="11.7265625" customWidth="1"/>
    <col min="4609" max="4609" width="24.7265625" customWidth="1"/>
    <col min="4610" max="4610" width="29.7265625" customWidth="1"/>
    <col min="4611" max="4611" width="3.7265625" customWidth="1"/>
    <col min="4612" max="4612" width="15.453125" customWidth="1"/>
    <col min="4613" max="4613" width="19.90625" customWidth="1"/>
    <col min="4614" max="4614" width="1.7265625" customWidth="1"/>
    <col min="4615" max="4615" width="4.6328125" customWidth="1"/>
    <col min="4616" max="4616" width="28.6328125" customWidth="1"/>
    <col min="4617" max="4617" width="57.6328125" customWidth="1"/>
    <col min="4618" max="4618" width="9.7265625" customWidth="1"/>
    <col min="4619" max="4619" width="0.90625" customWidth="1"/>
    <col min="4620" max="4620" width="4.6328125" customWidth="1"/>
    <col min="4621" max="4621" width="28.36328125" customWidth="1"/>
    <col min="4622" max="4622" width="57.6328125" customWidth="1"/>
    <col min="4623" max="4623" width="9.453125" customWidth="1"/>
    <col min="4624" max="4624" width="21.08984375" customWidth="1"/>
    <col min="4625" max="4625" width="49.6328125" customWidth="1"/>
    <col min="4626" max="4626" width="11.7265625" customWidth="1"/>
    <col min="4865" max="4865" width="24.7265625" customWidth="1"/>
    <col min="4866" max="4866" width="29.7265625" customWidth="1"/>
    <col min="4867" max="4867" width="3.7265625" customWidth="1"/>
    <col min="4868" max="4868" width="15.453125" customWidth="1"/>
    <col min="4869" max="4869" width="19.90625" customWidth="1"/>
    <col min="4870" max="4870" width="1.7265625" customWidth="1"/>
    <col min="4871" max="4871" width="4.6328125" customWidth="1"/>
    <col min="4872" max="4872" width="28.6328125" customWidth="1"/>
    <col min="4873" max="4873" width="57.6328125" customWidth="1"/>
    <col min="4874" max="4874" width="9.7265625" customWidth="1"/>
    <col min="4875" max="4875" width="0.90625" customWidth="1"/>
    <col min="4876" max="4876" width="4.6328125" customWidth="1"/>
    <col min="4877" max="4877" width="28.36328125" customWidth="1"/>
    <col min="4878" max="4878" width="57.6328125" customWidth="1"/>
    <col min="4879" max="4879" width="9.453125" customWidth="1"/>
    <col min="4880" max="4880" width="21.08984375" customWidth="1"/>
    <col min="4881" max="4881" width="49.6328125" customWidth="1"/>
    <col min="4882" max="4882" width="11.7265625" customWidth="1"/>
    <col min="5121" max="5121" width="24.7265625" customWidth="1"/>
    <col min="5122" max="5122" width="29.7265625" customWidth="1"/>
    <col min="5123" max="5123" width="3.7265625" customWidth="1"/>
    <col min="5124" max="5124" width="15.453125" customWidth="1"/>
    <col min="5125" max="5125" width="19.90625" customWidth="1"/>
    <col min="5126" max="5126" width="1.7265625" customWidth="1"/>
    <col min="5127" max="5127" width="4.6328125" customWidth="1"/>
    <col min="5128" max="5128" width="28.6328125" customWidth="1"/>
    <col min="5129" max="5129" width="57.6328125" customWidth="1"/>
    <col min="5130" max="5130" width="9.7265625" customWidth="1"/>
    <col min="5131" max="5131" width="0.90625" customWidth="1"/>
    <col min="5132" max="5132" width="4.6328125" customWidth="1"/>
    <col min="5133" max="5133" width="28.36328125" customWidth="1"/>
    <col min="5134" max="5134" width="57.6328125" customWidth="1"/>
    <col min="5135" max="5135" width="9.453125" customWidth="1"/>
    <col min="5136" max="5136" width="21.08984375" customWidth="1"/>
    <col min="5137" max="5137" width="49.6328125" customWidth="1"/>
    <col min="5138" max="5138" width="11.7265625" customWidth="1"/>
    <col min="5377" max="5377" width="24.7265625" customWidth="1"/>
    <col min="5378" max="5378" width="29.7265625" customWidth="1"/>
    <col min="5379" max="5379" width="3.7265625" customWidth="1"/>
    <col min="5380" max="5380" width="15.453125" customWidth="1"/>
    <col min="5381" max="5381" width="19.90625" customWidth="1"/>
    <col min="5382" max="5382" width="1.7265625" customWidth="1"/>
    <col min="5383" max="5383" width="4.6328125" customWidth="1"/>
    <col min="5384" max="5384" width="28.6328125" customWidth="1"/>
    <col min="5385" max="5385" width="57.6328125" customWidth="1"/>
    <col min="5386" max="5386" width="9.7265625" customWidth="1"/>
    <col min="5387" max="5387" width="0.90625" customWidth="1"/>
    <col min="5388" max="5388" width="4.6328125" customWidth="1"/>
    <col min="5389" max="5389" width="28.36328125" customWidth="1"/>
    <col min="5390" max="5390" width="57.6328125" customWidth="1"/>
    <col min="5391" max="5391" width="9.453125" customWidth="1"/>
    <col min="5392" max="5392" width="21.08984375" customWidth="1"/>
    <col min="5393" max="5393" width="49.6328125" customWidth="1"/>
    <col min="5394" max="5394" width="11.7265625" customWidth="1"/>
    <col min="5633" max="5633" width="24.7265625" customWidth="1"/>
    <col min="5634" max="5634" width="29.7265625" customWidth="1"/>
    <col min="5635" max="5635" width="3.7265625" customWidth="1"/>
    <col min="5636" max="5636" width="15.453125" customWidth="1"/>
    <col min="5637" max="5637" width="19.90625" customWidth="1"/>
    <col min="5638" max="5638" width="1.7265625" customWidth="1"/>
    <col min="5639" max="5639" width="4.6328125" customWidth="1"/>
    <col min="5640" max="5640" width="28.6328125" customWidth="1"/>
    <col min="5641" max="5641" width="57.6328125" customWidth="1"/>
    <col min="5642" max="5642" width="9.7265625" customWidth="1"/>
    <col min="5643" max="5643" width="0.90625" customWidth="1"/>
    <col min="5644" max="5644" width="4.6328125" customWidth="1"/>
    <col min="5645" max="5645" width="28.36328125" customWidth="1"/>
    <col min="5646" max="5646" width="57.6328125" customWidth="1"/>
    <col min="5647" max="5647" width="9.453125" customWidth="1"/>
    <col min="5648" max="5648" width="21.08984375" customWidth="1"/>
    <col min="5649" max="5649" width="49.6328125" customWidth="1"/>
    <col min="5650" max="5650" width="11.7265625" customWidth="1"/>
    <col min="5889" max="5889" width="24.7265625" customWidth="1"/>
    <col min="5890" max="5890" width="29.7265625" customWidth="1"/>
    <col min="5891" max="5891" width="3.7265625" customWidth="1"/>
    <col min="5892" max="5892" width="15.453125" customWidth="1"/>
    <col min="5893" max="5893" width="19.90625" customWidth="1"/>
    <col min="5894" max="5894" width="1.7265625" customWidth="1"/>
    <col min="5895" max="5895" width="4.6328125" customWidth="1"/>
    <col min="5896" max="5896" width="28.6328125" customWidth="1"/>
    <col min="5897" max="5897" width="57.6328125" customWidth="1"/>
    <col min="5898" max="5898" width="9.7265625" customWidth="1"/>
    <col min="5899" max="5899" width="0.90625" customWidth="1"/>
    <col min="5900" max="5900" width="4.6328125" customWidth="1"/>
    <col min="5901" max="5901" width="28.36328125" customWidth="1"/>
    <col min="5902" max="5902" width="57.6328125" customWidth="1"/>
    <col min="5903" max="5903" width="9.453125" customWidth="1"/>
    <col min="5904" max="5904" width="21.08984375" customWidth="1"/>
    <col min="5905" max="5905" width="49.6328125" customWidth="1"/>
    <col min="5906" max="5906" width="11.7265625" customWidth="1"/>
    <col min="6145" max="6145" width="24.7265625" customWidth="1"/>
    <col min="6146" max="6146" width="29.7265625" customWidth="1"/>
    <col min="6147" max="6147" width="3.7265625" customWidth="1"/>
    <col min="6148" max="6148" width="15.453125" customWidth="1"/>
    <col min="6149" max="6149" width="19.90625" customWidth="1"/>
    <col min="6150" max="6150" width="1.7265625" customWidth="1"/>
    <col min="6151" max="6151" width="4.6328125" customWidth="1"/>
    <col min="6152" max="6152" width="28.6328125" customWidth="1"/>
    <col min="6153" max="6153" width="57.6328125" customWidth="1"/>
    <col min="6154" max="6154" width="9.7265625" customWidth="1"/>
    <col min="6155" max="6155" width="0.90625" customWidth="1"/>
    <col min="6156" max="6156" width="4.6328125" customWidth="1"/>
    <col min="6157" max="6157" width="28.36328125" customWidth="1"/>
    <col min="6158" max="6158" width="57.6328125" customWidth="1"/>
    <col min="6159" max="6159" width="9.453125" customWidth="1"/>
    <col min="6160" max="6160" width="21.08984375" customWidth="1"/>
    <col min="6161" max="6161" width="49.6328125" customWidth="1"/>
    <col min="6162" max="6162" width="11.7265625" customWidth="1"/>
    <col min="6401" max="6401" width="24.7265625" customWidth="1"/>
    <col min="6402" max="6402" width="29.7265625" customWidth="1"/>
    <col min="6403" max="6403" width="3.7265625" customWidth="1"/>
    <col min="6404" max="6404" width="15.453125" customWidth="1"/>
    <col min="6405" max="6405" width="19.90625" customWidth="1"/>
    <col min="6406" max="6406" width="1.7265625" customWidth="1"/>
    <col min="6407" max="6407" width="4.6328125" customWidth="1"/>
    <col min="6408" max="6408" width="28.6328125" customWidth="1"/>
    <col min="6409" max="6409" width="57.6328125" customWidth="1"/>
    <col min="6410" max="6410" width="9.7265625" customWidth="1"/>
    <col min="6411" max="6411" width="0.90625" customWidth="1"/>
    <col min="6412" max="6412" width="4.6328125" customWidth="1"/>
    <col min="6413" max="6413" width="28.36328125" customWidth="1"/>
    <col min="6414" max="6414" width="57.6328125" customWidth="1"/>
    <col min="6415" max="6415" width="9.453125" customWidth="1"/>
    <col min="6416" max="6416" width="21.08984375" customWidth="1"/>
    <col min="6417" max="6417" width="49.6328125" customWidth="1"/>
    <col min="6418" max="6418" width="11.7265625" customWidth="1"/>
    <col min="6657" max="6657" width="24.7265625" customWidth="1"/>
    <col min="6658" max="6658" width="29.7265625" customWidth="1"/>
    <col min="6659" max="6659" width="3.7265625" customWidth="1"/>
    <col min="6660" max="6660" width="15.453125" customWidth="1"/>
    <col min="6661" max="6661" width="19.90625" customWidth="1"/>
    <col min="6662" max="6662" width="1.7265625" customWidth="1"/>
    <col min="6663" max="6663" width="4.6328125" customWidth="1"/>
    <col min="6664" max="6664" width="28.6328125" customWidth="1"/>
    <col min="6665" max="6665" width="57.6328125" customWidth="1"/>
    <col min="6666" max="6666" width="9.7265625" customWidth="1"/>
    <col min="6667" max="6667" width="0.90625" customWidth="1"/>
    <col min="6668" max="6668" width="4.6328125" customWidth="1"/>
    <col min="6669" max="6669" width="28.36328125" customWidth="1"/>
    <col min="6670" max="6670" width="57.6328125" customWidth="1"/>
    <col min="6671" max="6671" width="9.453125" customWidth="1"/>
    <col min="6672" max="6672" width="21.08984375" customWidth="1"/>
    <col min="6673" max="6673" width="49.6328125" customWidth="1"/>
    <col min="6674" max="6674" width="11.7265625" customWidth="1"/>
    <col min="6913" max="6913" width="24.7265625" customWidth="1"/>
    <col min="6914" max="6914" width="29.7265625" customWidth="1"/>
    <col min="6915" max="6915" width="3.7265625" customWidth="1"/>
    <col min="6916" max="6916" width="15.453125" customWidth="1"/>
    <col min="6917" max="6917" width="19.90625" customWidth="1"/>
    <col min="6918" max="6918" width="1.7265625" customWidth="1"/>
    <col min="6919" max="6919" width="4.6328125" customWidth="1"/>
    <col min="6920" max="6920" width="28.6328125" customWidth="1"/>
    <col min="6921" max="6921" width="57.6328125" customWidth="1"/>
    <col min="6922" max="6922" width="9.7265625" customWidth="1"/>
    <col min="6923" max="6923" width="0.90625" customWidth="1"/>
    <col min="6924" max="6924" width="4.6328125" customWidth="1"/>
    <col min="6925" max="6925" width="28.36328125" customWidth="1"/>
    <col min="6926" max="6926" width="57.6328125" customWidth="1"/>
    <col min="6927" max="6927" width="9.453125" customWidth="1"/>
    <col min="6928" max="6928" width="21.08984375" customWidth="1"/>
    <col min="6929" max="6929" width="49.6328125" customWidth="1"/>
    <col min="6930" max="6930" width="11.7265625" customWidth="1"/>
    <col min="7169" max="7169" width="24.7265625" customWidth="1"/>
    <col min="7170" max="7170" width="29.7265625" customWidth="1"/>
    <col min="7171" max="7171" width="3.7265625" customWidth="1"/>
    <col min="7172" max="7172" width="15.453125" customWidth="1"/>
    <col min="7173" max="7173" width="19.90625" customWidth="1"/>
    <col min="7174" max="7174" width="1.7265625" customWidth="1"/>
    <col min="7175" max="7175" width="4.6328125" customWidth="1"/>
    <col min="7176" max="7176" width="28.6328125" customWidth="1"/>
    <col min="7177" max="7177" width="57.6328125" customWidth="1"/>
    <col min="7178" max="7178" width="9.7265625" customWidth="1"/>
    <col min="7179" max="7179" width="0.90625" customWidth="1"/>
    <col min="7180" max="7180" width="4.6328125" customWidth="1"/>
    <col min="7181" max="7181" width="28.36328125" customWidth="1"/>
    <col min="7182" max="7182" width="57.6328125" customWidth="1"/>
    <col min="7183" max="7183" width="9.453125" customWidth="1"/>
    <col min="7184" max="7184" width="21.08984375" customWidth="1"/>
    <col min="7185" max="7185" width="49.6328125" customWidth="1"/>
    <col min="7186" max="7186" width="11.7265625" customWidth="1"/>
    <col min="7425" max="7425" width="24.7265625" customWidth="1"/>
    <col min="7426" max="7426" width="29.7265625" customWidth="1"/>
    <col min="7427" max="7427" width="3.7265625" customWidth="1"/>
    <col min="7428" max="7428" width="15.453125" customWidth="1"/>
    <col min="7429" max="7429" width="19.90625" customWidth="1"/>
    <col min="7430" max="7430" width="1.7265625" customWidth="1"/>
    <col min="7431" max="7431" width="4.6328125" customWidth="1"/>
    <col min="7432" max="7432" width="28.6328125" customWidth="1"/>
    <col min="7433" max="7433" width="57.6328125" customWidth="1"/>
    <col min="7434" max="7434" width="9.7265625" customWidth="1"/>
    <col min="7435" max="7435" width="0.90625" customWidth="1"/>
    <col min="7436" max="7436" width="4.6328125" customWidth="1"/>
    <col min="7437" max="7437" width="28.36328125" customWidth="1"/>
    <col min="7438" max="7438" width="57.6328125" customWidth="1"/>
    <col min="7439" max="7439" width="9.453125" customWidth="1"/>
    <col min="7440" max="7440" width="21.08984375" customWidth="1"/>
    <col min="7441" max="7441" width="49.6328125" customWidth="1"/>
    <col min="7442" max="7442" width="11.7265625" customWidth="1"/>
    <col min="7681" max="7681" width="24.7265625" customWidth="1"/>
    <col min="7682" max="7682" width="29.7265625" customWidth="1"/>
    <col min="7683" max="7683" width="3.7265625" customWidth="1"/>
    <col min="7684" max="7684" width="15.453125" customWidth="1"/>
    <col min="7685" max="7685" width="19.90625" customWidth="1"/>
    <col min="7686" max="7686" width="1.7265625" customWidth="1"/>
    <col min="7687" max="7687" width="4.6328125" customWidth="1"/>
    <col min="7688" max="7688" width="28.6328125" customWidth="1"/>
    <col min="7689" max="7689" width="57.6328125" customWidth="1"/>
    <col min="7690" max="7690" width="9.7265625" customWidth="1"/>
    <col min="7691" max="7691" width="0.90625" customWidth="1"/>
    <col min="7692" max="7692" width="4.6328125" customWidth="1"/>
    <col min="7693" max="7693" width="28.36328125" customWidth="1"/>
    <col min="7694" max="7694" width="57.6328125" customWidth="1"/>
    <col min="7695" max="7695" width="9.453125" customWidth="1"/>
    <col min="7696" max="7696" width="21.08984375" customWidth="1"/>
    <col min="7697" max="7697" width="49.6328125" customWidth="1"/>
    <col min="7698" max="7698" width="11.7265625" customWidth="1"/>
    <col min="7937" max="7937" width="24.7265625" customWidth="1"/>
    <col min="7938" max="7938" width="29.7265625" customWidth="1"/>
    <col min="7939" max="7939" width="3.7265625" customWidth="1"/>
    <col min="7940" max="7940" width="15.453125" customWidth="1"/>
    <col min="7941" max="7941" width="19.90625" customWidth="1"/>
    <col min="7942" max="7942" width="1.7265625" customWidth="1"/>
    <col min="7943" max="7943" width="4.6328125" customWidth="1"/>
    <col min="7944" max="7944" width="28.6328125" customWidth="1"/>
    <col min="7945" max="7945" width="57.6328125" customWidth="1"/>
    <col min="7946" max="7946" width="9.7265625" customWidth="1"/>
    <col min="7947" max="7947" width="0.90625" customWidth="1"/>
    <col min="7948" max="7948" width="4.6328125" customWidth="1"/>
    <col min="7949" max="7949" width="28.36328125" customWidth="1"/>
    <col min="7950" max="7950" width="57.6328125" customWidth="1"/>
    <col min="7951" max="7951" width="9.453125" customWidth="1"/>
    <col min="7952" max="7952" width="21.08984375" customWidth="1"/>
    <col min="7953" max="7953" width="49.6328125" customWidth="1"/>
    <col min="7954" max="7954" width="11.7265625" customWidth="1"/>
    <col min="8193" max="8193" width="24.7265625" customWidth="1"/>
    <col min="8194" max="8194" width="29.7265625" customWidth="1"/>
    <col min="8195" max="8195" width="3.7265625" customWidth="1"/>
    <col min="8196" max="8196" width="15.453125" customWidth="1"/>
    <col min="8197" max="8197" width="19.90625" customWidth="1"/>
    <col min="8198" max="8198" width="1.7265625" customWidth="1"/>
    <col min="8199" max="8199" width="4.6328125" customWidth="1"/>
    <col min="8200" max="8200" width="28.6328125" customWidth="1"/>
    <col min="8201" max="8201" width="57.6328125" customWidth="1"/>
    <col min="8202" max="8202" width="9.7265625" customWidth="1"/>
    <col min="8203" max="8203" width="0.90625" customWidth="1"/>
    <col min="8204" max="8204" width="4.6328125" customWidth="1"/>
    <col min="8205" max="8205" width="28.36328125" customWidth="1"/>
    <col min="8206" max="8206" width="57.6328125" customWidth="1"/>
    <col min="8207" max="8207" width="9.453125" customWidth="1"/>
    <col min="8208" max="8208" width="21.08984375" customWidth="1"/>
    <col min="8209" max="8209" width="49.6328125" customWidth="1"/>
    <col min="8210" max="8210" width="11.7265625" customWidth="1"/>
    <col min="8449" max="8449" width="24.7265625" customWidth="1"/>
    <col min="8450" max="8450" width="29.7265625" customWidth="1"/>
    <col min="8451" max="8451" width="3.7265625" customWidth="1"/>
    <col min="8452" max="8452" width="15.453125" customWidth="1"/>
    <col min="8453" max="8453" width="19.90625" customWidth="1"/>
    <col min="8454" max="8454" width="1.7265625" customWidth="1"/>
    <col min="8455" max="8455" width="4.6328125" customWidth="1"/>
    <col min="8456" max="8456" width="28.6328125" customWidth="1"/>
    <col min="8457" max="8457" width="57.6328125" customWidth="1"/>
    <col min="8458" max="8458" width="9.7265625" customWidth="1"/>
    <col min="8459" max="8459" width="0.90625" customWidth="1"/>
    <col min="8460" max="8460" width="4.6328125" customWidth="1"/>
    <col min="8461" max="8461" width="28.36328125" customWidth="1"/>
    <col min="8462" max="8462" width="57.6328125" customWidth="1"/>
    <col min="8463" max="8463" width="9.453125" customWidth="1"/>
    <col min="8464" max="8464" width="21.08984375" customWidth="1"/>
    <col min="8465" max="8465" width="49.6328125" customWidth="1"/>
    <col min="8466" max="8466" width="11.7265625" customWidth="1"/>
    <col min="8705" max="8705" width="24.7265625" customWidth="1"/>
    <col min="8706" max="8706" width="29.7265625" customWidth="1"/>
    <col min="8707" max="8707" width="3.7265625" customWidth="1"/>
    <col min="8708" max="8708" width="15.453125" customWidth="1"/>
    <col min="8709" max="8709" width="19.90625" customWidth="1"/>
    <col min="8710" max="8710" width="1.7265625" customWidth="1"/>
    <col min="8711" max="8711" width="4.6328125" customWidth="1"/>
    <col min="8712" max="8712" width="28.6328125" customWidth="1"/>
    <col min="8713" max="8713" width="57.6328125" customWidth="1"/>
    <col min="8714" max="8714" width="9.7265625" customWidth="1"/>
    <col min="8715" max="8715" width="0.90625" customWidth="1"/>
    <col min="8716" max="8716" width="4.6328125" customWidth="1"/>
    <col min="8717" max="8717" width="28.36328125" customWidth="1"/>
    <col min="8718" max="8718" width="57.6328125" customWidth="1"/>
    <col min="8719" max="8719" width="9.453125" customWidth="1"/>
    <col min="8720" max="8720" width="21.08984375" customWidth="1"/>
    <col min="8721" max="8721" width="49.6328125" customWidth="1"/>
    <col min="8722" max="8722" width="11.7265625" customWidth="1"/>
    <col min="8961" max="8961" width="24.7265625" customWidth="1"/>
    <col min="8962" max="8962" width="29.7265625" customWidth="1"/>
    <col min="8963" max="8963" width="3.7265625" customWidth="1"/>
    <col min="8964" max="8964" width="15.453125" customWidth="1"/>
    <col min="8965" max="8965" width="19.90625" customWidth="1"/>
    <col min="8966" max="8966" width="1.7265625" customWidth="1"/>
    <col min="8967" max="8967" width="4.6328125" customWidth="1"/>
    <col min="8968" max="8968" width="28.6328125" customWidth="1"/>
    <col min="8969" max="8969" width="57.6328125" customWidth="1"/>
    <col min="8970" max="8970" width="9.7265625" customWidth="1"/>
    <col min="8971" max="8971" width="0.90625" customWidth="1"/>
    <col min="8972" max="8972" width="4.6328125" customWidth="1"/>
    <col min="8973" max="8973" width="28.36328125" customWidth="1"/>
    <col min="8974" max="8974" width="57.6328125" customWidth="1"/>
    <col min="8975" max="8975" width="9.453125" customWidth="1"/>
    <col min="8976" max="8976" width="21.08984375" customWidth="1"/>
    <col min="8977" max="8977" width="49.6328125" customWidth="1"/>
    <col min="8978" max="8978" width="11.7265625" customWidth="1"/>
    <col min="9217" max="9217" width="24.7265625" customWidth="1"/>
    <col min="9218" max="9218" width="29.7265625" customWidth="1"/>
    <col min="9219" max="9219" width="3.7265625" customWidth="1"/>
    <col min="9220" max="9220" width="15.453125" customWidth="1"/>
    <col min="9221" max="9221" width="19.90625" customWidth="1"/>
    <col min="9222" max="9222" width="1.7265625" customWidth="1"/>
    <col min="9223" max="9223" width="4.6328125" customWidth="1"/>
    <col min="9224" max="9224" width="28.6328125" customWidth="1"/>
    <col min="9225" max="9225" width="57.6328125" customWidth="1"/>
    <col min="9226" max="9226" width="9.7265625" customWidth="1"/>
    <col min="9227" max="9227" width="0.90625" customWidth="1"/>
    <col min="9228" max="9228" width="4.6328125" customWidth="1"/>
    <col min="9229" max="9229" width="28.36328125" customWidth="1"/>
    <col min="9230" max="9230" width="57.6328125" customWidth="1"/>
    <col min="9231" max="9231" width="9.453125" customWidth="1"/>
    <col min="9232" max="9232" width="21.08984375" customWidth="1"/>
    <col min="9233" max="9233" width="49.6328125" customWidth="1"/>
    <col min="9234" max="9234" width="11.7265625" customWidth="1"/>
    <col min="9473" max="9473" width="24.7265625" customWidth="1"/>
    <col min="9474" max="9474" width="29.7265625" customWidth="1"/>
    <col min="9475" max="9475" width="3.7265625" customWidth="1"/>
    <col min="9476" max="9476" width="15.453125" customWidth="1"/>
    <col min="9477" max="9477" width="19.90625" customWidth="1"/>
    <col min="9478" max="9478" width="1.7265625" customWidth="1"/>
    <col min="9479" max="9479" width="4.6328125" customWidth="1"/>
    <col min="9480" max="9480" width="28.6328125" customWidth="1"/>
    <col min="9481" max="9481" width="57.6328125" customWidth="1"/>
    <col min="9482" max="9482" width="9.7265625" customWidth="1"/>
    <col min="9483" max="9483" width="0.90625" customWidth="1"/>
    <col min="9484" max="9484" width="4.6328125" customWidth="1"/>
    <col min="9485" max="9485" width="28.36328125" customWidth="1"/>
    <col min="9486" max="9486" width="57.6328125" customWidth="1"/>
    <col min="9487" max="9487" width="9.453125" customWidth="1"/>
    <col min="9488" max="9488" width="21.08984375" customWidth="1"/>
    <col min="9489" max="9489" width="49.6328125" customWidth="1"/>
    <col min="9490" max="9490" width="11.7265625" customWidth="1"/>
    <col min="9729" max="9729" width="24.7265625" customWidth="1"/>
    <col min="9730" max="9730" width="29.7265625" customWidth="1"/>
    <col min="9731" max="9731" width="3.7265625" customWidth="1"/>
    <col min="9732" max="9732" width="15.453125" customWidth="1"/>
    <col min="9733" max="9733" width="19.90625" customWidth="1"/>
    <col min="9734" max="9734" width="1.7265625" customWidth="1"/>
    <col min="9735" max="9735" width="4.6328125" customWidth="1"/>
    <col min="9736" max="9736" width="28.6328125" customWidth="1"/>
    <col min="9737" max="9737" width="57.6328125" customWidth="1"/>
    <col min="9738" max="9738" width="9.7265625" customWidth="1"/>
    <col min="9739" max="9739" width="0.90625" customWidth="1"/>
    <col min="9740" max="9740" width="4.6328125" customWidth="1"/>
    <col min="9741" max="9741" width="28.36328125" customWidth="1"/>
    <col min="9742" max="9742" width="57.6328125" customWidth="1"/>
    <col min="9743" max="9743" width="9.453125" customWidth="1"/>
    <col min="9744" max="9744" width="21.08984375" customWidth="1"/>
    <col min="9745" max="9745" width="49.6328125" customWidth="1"/>
    <col min="9746" max="9746" width="11.7265625" customWidth="1"/>
    <col min="9985" max="9985" width="24.7265625" customWidth="1"/>
    <col min="9986" max="9986" width="29.7265625" customWidth="1"/>
    <col min="9987" max="9987" width="3.7265625" customWidth="1"/>
    <col min="9988" max="9988" width="15.453125" customWidth="1"/>
    <col min="9989" max="9989" width="19.90625" customWidth="1"/>
    <col min="9990" max="9990" width="1.7265625" customWidth="1"/>
    <col min="9991" max="9991" width="4.6328125" customWidth="1"/>
    <col min="9992" max="9992" width="28.6328125" customWidth="1"/>
    <col min="9993" max="9993" width="57.6328125" customWidth="1"/>
    <col min="9994" max="9994" width="9.7265625" customWidth="1"/>
    <col min="9995" max="9995" width="0.90625" customWidth="1"/>
    <col min="9996" max="9996" width="4.6328125" customWidth="1"/>
    <col min="9997" max="9997" width="28.36328125" customWidth="1"/>
    <col min="9998" max="9998" width="57.6328125" customWidth="1"/>
    <col min="9999" max="9999" width="9.453125" customWidth="1"/>
    <col min="10000" max="10000" width="21.08984375" customWidth="1"/>
    <col min="10001" max="10001" width="49.6328125" customWidth="1"/>
    <col min="10002" max="10002" width="11.7265625" customWidth="1"/>
    <col min="10241" max="10241" width="24.7265625" customWidth="1"/>
    <col min="10242" max="10242" width="29.7265625" customWidth="1"/>
    <col min="10243" max="10243" width="3.7265625" customWidth="1"/>
    <col min="10244" max="10244" width="15.453125" customWidth="1"/>
    <col min="10245" max="10245" width="19.90625" customWidth="1"/>
    <col min="10246" max="10246" width="1.7265625" customWidth="1"/>
    <col min="10247" max="10247" width="4.6328125" customWidth="1"/>
    <col min="10248" max="10248" width="28.6328125" customWidth="1"/>
    <col min="10249" max="10249" width="57.6328125" customWidth="1"/>
    <col min="10250" max="10250" width="9.7265625" customWidth="1"/>
    <col min="10251" max="10251" width="0.90625" customWidth="1"/>
    <col min="10252" max="10252" width="4.6328125" customWidth="1"/>
    <col min="10253" max="10253" width="28.36328125" customWidth="1"/>
    <col min="10254" max="10254" width="57.6328125" customWidth="1"/>
    <col min="10255" max="10255" width="9.453125" customWidth="1"/>
    <col min="10256" max="10256" width="21.08984375" customWidth="1"/>
    <col min="10257" max="10257" width="49.6328125" customWidth="1"/>
    <col min="10258" max="10258" width="11.7265625" customWidth="1"/>
    <col min="10497" max="10497" width="24.7265625" customWidth="1"/>
    <col min="10498" max="10498" width="29.7265625" customWidth="1"/>
    <col min="10499" max="10499" width="3.7265625" customWidth="1"/>
    <col min="10500" max="10500" width="15.453125" customWidth="1"/>
    <col min="10501" max="10501" width="19.90625" customWidth="1"/>
    <col min="10502" max="10502" width="1.7265625" customWidth="1"/>
    <col min="10503" max="10503" width="4.6328125" customWidth="1"/>
    <col min="10504" max="10504" width="28.6328125" customWidth="1"/>
    <col min="10505" max="10505" width="57.6328125" customWidth="1"/>
    <col min="10506" max="10506" width="9.7265625" customWidth="1"/>
    <col min="10507" max="10507" width="0.90625" customWidth="1"/>
    <col min="10508" max="10508" width="4.6328125" customWidth="1"/>
    <col min="10509" max="10509" width="28.36328125" customWidth="1"/>
    <col min="10510" max="10510" width="57.6328125" customWidth="1"/>
    <col min="10511" max="10511" width="9.453125" customWidth="1"/>
    <col min="10512" max="10512" width="21.08984375" customWidth="1"/>
    <col min="10513" max="10513" width="49.6328125" customWidth="1"/>
    <col min="10514" max="10514" width="11.7265625" customWidth="1"/>
    <col min="10753" max="10753" width="24.7265625" customWidth="1"/>
    <col min="10754" max="10754" width="29.7265625" customWidth="1"/>
    <col min="10755" max="10755" width="3.7265625" customWidth="1"/>
    <col min="10756" max="10756" width="15.453125" customWidth="1"/>
    <col min="10757" max="10757" width="19.90625" customWidth="1"/>
    <col min="10758" max="10758" width="1.7265625" customWidth="1"/>
    <col min="10759" max="10759" width="4.6328125" customWidth="1"/>
    <col min="10760" max="10760" width="28.6328125" customWidth="1"/>
    <col min="10761" max="10761" width="57.6328125" customWidth="1"/>
    <col min="10762" max="10762" width="9.7265625" customWidth="1"/>
    <col min="10763" max="10763" width="0.90625" customWidth="1"/>
    <col min="10764" max="10764" width="4.6328125" customWidth="1"/>
    <col min="10765" max="10765" width="28.36328125" customWidth="1"/>
    <col min="10766" max="10766" width="57.6328125" customWidth="1"/>
    <col min="10767" max="10767" width="9.453125" customWidth="1"/>
    <col min="10768" max="10768" width="21.08984375" customWidth="1"/>
    <col min="10769" max="10769" width="49.6328125" customWidth="1"/>
    <col min="10770" max="10770" width="11.7265625" customWidth="1"/>
    <col min="11009" max="11009" width="24.7265625" customWidth="1"/>
    <col min="11010" max="11010" width="29.7265625" customWidth="1"/>
    <col min="11011" max="11011" width="3.7265625" customWidth="1"/>
    <col min="11012" max="11012" width="15.453125" customWidth="1"/>
    <col min="11013" max="11013" width="19.90625" customWidth="1"/>
    <col min="11014" max="11014" width="1.7265625" customWidth="1"/>
    <col min="11015" max="11015" width="4.6328125" customWidth="1"/>
    <col min="11016" max="11016" width="28.6328125" customWidth="1"/>
    <col min="11017" max="11017" width="57.6328125" customWidth="1"/>
    <col min="11018" max="11018" width="9.7265625" customWidth="1"/>
    <col min="11019" max="11019" width="0.90625" customWidth="1"/>
    <col min="11020" max="11020" width="4.6328125" customWidth="1"/>
    <col min="11021" max="11021" width="28.36328125" customWidth="1"/>
    <col min="11022" max="11022" width="57.6328125" customWidth="1"/>
    <col min="11023" max="11023" width="9.453125" customWidth="1"/>
    <col min="11024" max="11024" width="21.08984375" customWidth="1"/>
    <col min="11025" max="11025" width="49.6328125" customWidth="1"/>
    <col min="11026" max="11026" width="11.7265625" customWidth="1"/>
    <col min="11265" max="11265" width="24.7265625" customWidth="1"/>
    <col min="11266" max="11266" width="29.7265625" customWidth="1"/>
    <col min="11267" max="11267" width="3.7265625" customWidth="1"/>
    <col min="11268" max="11268" width="15.453125" customWidth="1"/>
    <col min="11269" max="11269" width="19.90625" customWidth="1"/>
    <col min="11270" max="11270" width="1.7265625" customWidth="1"/>
    <col min="11271" max="11271" width="4.6328125" customWidth="1"/>
    <col min="11272" max="11272" width="28.6328125" customWidth="1"/>
    <col min="11273" max="11273" width="57.6328125" customWidth="1"/>
    <col min="11274" max="11274" width="9.7265625" customWidth="1"/>
    <col min="11275" max="11275" width="0.90625" customWidth="1"/>
    <col min="11276" max="11276" width="4.6328125" customWidth="1"/>
    <col min="11277" max="11277" width="28.36328125" customWidth="1"/>
    <col min="11278" max="11278" width="57.6328125" customWidth="1"/>
    <col min="11279" max="11279" width="9.453125" customWidth="1"/>
    <col min="11280" max="11280" width="21.08984375" customWidth="1"/>
    <col min="11281" max="11281" width="49.6328125" customWidth="1"/>
    <col min="11282" max="11282" width="11.7265625" customWidth="1"/>
    <col min="11521" max="11521" width="24.7265625" customWidth="1"/>
    <col min="11522" max="11522" width="29.7265625" customWidth="1"/>
    <col min="11523" max="11523" width="3.7265625" customWidth="1"/>
    <col min="11524" max="11524" width="15.453125" customWidth="1"/>
    <col min="11525" max="11525" width="19.90625" customWidth="1"/>
    <col min="11526" max="11526" width="1.7265625" customWidth="1"/>
    <col min="11527" max="11527" width="4.6328125" customWidth="1"/>
    <col min="11528" max="11528" width="28.6328125" customWidth="1"/>
    <col min="11529" max="11529" width="57.6328125" customWidth="1"/>
    <col min="11530" max="11530" width="9.7265625" customWidth="1"/>
    <col min="11531" max="11531" width="0.90625" customWidth="1"/>
    <col min="11532" max="11532" width="4.6328125" customWidth="1"/>
    <col min="11533" max="11533" width="28.36328125" customWidth="1"/>
    <col min="11534" max="11534" width="57.6328125" customWidth="1"/>
    <col min="11535" max="11535" width="9.453125" customWidth="1"/>
    <col min="11536" max="11536" width="21.08984375" customWidth="1"/>
    <col min="11537" max="11537" width="49.6328125" customWidth="1"/>
    <col min="11538" max="11538" width="11.7265625" customWidth="1"/>
    <col min="11777" max="11777" width="24.7265625" customWidth="1"/>
    <col min="11778" max="11778" width="29.7265625" customWidth="1"/>
    <col min="11779" max="11779" width="3.7265625" customWidth="1"/>
    <col min="11780" max="11780" width="15.453125" customWidth="1"/>
    <col min="11781" max="11781" width="19.90625" customWidth="1"/>
    <col min="11782" max="11782" width="1.7265625" customWidth="1"/>
    <col min="11783" max="11783" width="4.6328125" customWidth="1"/>
    <col min="11784" max="11784" width="28.6328125" customWidth="1"/>
    <col min="11785" max="11785" width="57.6328125" customWidth="1"/>
    <col min="11786" max="11786" width="9.7265625" customWidth="1"/>
    <col min="11787" max="11787" width="0.90625" customWidth="1"/>
    <col min="11788" max="11788" width="4.6328125" customWidth="1"/>
    <col min="11789" max="11789" width="28.36328125" customWidth="1"/>
    <col min="11790" max="11790" width="57.6328125" customWidth="1"/>
    <col min="11791" max="11791" width="9.453125" customWidth="1"/>
    <col min="11792" max="11792" width="21.08984375" customWidth="1"/>
    <col min="11793" max="11793" width="49.6328125" customWidth="1"/>
    <col min="11794" max="11794" width="11.7265625" customWidth="1"/>
    <col min="12033" max="12033" width="24.7265625" customWidth="1"/>
    <col min="12034" max="12034" width="29.7265625" customWidth="1"/>
    <col min="12035" max="12035" width="3.7265625" customWidth="1"/>
    <col min="12036" max="12036" width="15.453125" customWidth="1"/>
    <col min="12037" max="12037" width="19.90625" customWidth="1"/>
    <col min="12038" max="12038" width="1.7265625" customWidth="1"/>
    <col min="12039" max="12039" width="4.6328125" customWidth="1"/>
    <col min="12040" max="12040" width="28.6328125" customWidth="1"/>
    <col min="12041" max="12041" width="57.6328125" customWidth="1"/>
    <col min="12042" max="12042" width="9.7265625" customWidth="1"/>
    <col min="12043" max="12043" width="0.90625" customWidth="1"/>
    <col min="12044" max="12044" width="4.6328125" customWidth="1"/>
    <col min="12045" max="12045" width="28.36328125" customWidth="1"/>
    <col min="12046" max="12046" width="57.6328125" customWidth="1"/>
    <col min="12047" max="12047" width="9.453125" customWidth="1"/>
    <col min="12048" max="12048" width="21.08984375" customWidth="1"/>
    <col min="12049" max="12049" width="49.6328125" customWidth="1"/>
    <col min="12050" max="12050" width="11.7265625" customWidth="1"/>
    <col min="12289" max="12289" width="24.7265625" customWidth="1"/>
    <col min="12290" max="12290" width="29.7265625" customWidth="1"/>
    <col min="12291" max="12291" width="3.7265625" customWidth="1"/>
    <col min="12292" max="12292" width="15.453125" customWidth="1"/>
    <col min="12293" max="12293" width="19.90625" customWidth="1"/>
    <col min="12294" max="12294" width="1.7265625" customWidth="1"/>
    <col min="12295" max="12295" width="4.6328125" customWidth="1"/>
    <col min="12296" max="12296" width="28.6328125" customWidth="1"/>
    <col min="12297" max="12297" width="57.6328125" customWidth="1"/>
    <col min="12298" max="12298" width="9.7265625" customWidth="1"/>
    <col min="12299" max="12299" width="0.90625" customWidth="1"/>
    <col min="12300" max="12300" width="4.6328125" customWidth="1"/>
    <col min="12301" max="12301" width="28.36328125" customWidth="1"/>
    <col min="12302" max="12302" width="57.6328125" customWidth="1"/>
    <col min="12303" max="12303" width="9.453125" customWidth="1"/>
    <col min="12304" max="12304" width="21.08984375" customWidth="1"/>
    <col min="12305" max="12305" width="49.6328125" customWidth="1"/>
    <col min="12306" max="12306" width="11.7265625" customWidth="1"/>
    <col min="12545" max="12545" width="24.7265625" customWidth="1"/>
    <col min="12546" max="12546" width="29.7265625" customWidth="1"/>
    <col min="12547" max="12547" width="3.7265625" customWidth="1"/>
    <col min="12548" max="12548" width="15.453125" customWidth="1"/>
    <col min="12549" max="12549" width="19.90625" customWidth="1"/>
    <col min="12550" max="12550" width="1.7265625" customWidth="1"/>
    <col min="12551" max="12551" width="4.6328125" customWidth="1"/>
    <col min="12552" max="12552" width="28.6328125" customWidth="1"/>
    <col min="12553" max="12553" width="57.6328125" customWidth="1"/>
    <col min="12554" max="12554" width="9.7265625" customWidth="1"/>
    <col min="12555" max="12555" width="0.90625" customWidth="1"/>
    <col min="12556" max="12556" width="4.6328125" customWidth="1"/>
    <col min="12557" max="12557" width="28.36328125" customWidth="1"/>
    <col min="12558" max="12558" width="57.6328125" customWidth="1"/>
    <col min="12559" max="12559" width="9.453125" customWidth="1"/>
    <col min="12560" max="12560" width="21.08984375" customWidth="1"/>
    <col min="12561" max="12561" width="49.6328125" customWidth="1"/>
    <col min="12562" max="12562" width="11.7265625" customWidth="1"/>
    <col min="12801" max="12801" width="24.7265625" customWidth="1"/>
    <col min="12802" max="12802" width="29.7265625" customWidth="1"/>
    <col min="12803" max="12803" width="3.7265625" customWidth="1"/>
    <col min="12804" max="12804" width="15.453125" customWidth="1"/>
    <col min="12805" max="12805" width="19.90625" customWidth="1"/>
    <col min="12806" max="12806" width="1.7265625" customWidth="1"/>
    <col min="12807" max="12807" width="4.6328125" customWidth="1"/>
    <col min="12808" max="12808" width="28.6328125" customWidth="1"/>
    <col min="12809" max="12809" width="57.6328125" customWidth="1"/>
    <col min="12810" max="12810" width="9.7265625" customWidth="1"/>
    <col min="12811" max="12811" width="0.90625" customWidth="1"/>
    <col min="12812" max="12812" width="4.6328125" customWidth="1"/>
    <col min="12813" max="12813" width="28.36328125" customWidth="1"/>
    <col min="12814" max="12814" width="57.6328125" customWidth="1"/>
    <col min="12815" max="12815" width="9.453125" customWidth="1"/>
    <col min="12816" max="12816" width="21.08984375" customWidth="1"/>
    <col min="12817" max="12817" width="49.6328125" customWidth="1"/>
    <col min="12818" max="12818" width="11.7265625" customWidth="1"/>
    <col min="13057" max="13057" width="24.7265625" customWidth="1"/>
    <col min="13058" max="13058" width="29.7265625" customWidth="1"/>
    <col min="13059" max="13059" width="3.7265625" customWidth="1"/>
    <col min="13060" max="13060" width="15.453125" customWidth="1"/>
    <col min="13061" max="13061" width="19.90625" customWidth="1"/>
    <col min="13062" max="13062" width="1.7265625" customWidth="1"/>
    <col min="13063" max="13063" width="4.6328125" customWidth="1"/>
    <col min="13064" max="13064" width="28.6328125" customWidth="1"/>
    <col min="13065" max="13065" width="57.6328125" customWidth="1"/>
    <col min="13066" max="13066" width="9.7265625" customWidth="1"/>
    <col min="13067" max="13067" width="0.90625" customWidth="1"/>
    <col min="13068" max="13068" width="4.6328125" customWidth="1"/>
    <col min="13069" max="13069" width="28.36328125" customWidth="1"/>
    <col min="13070" max="13070" width="57.6328125" customWidth="1"/>
    <col min="13071" max="13071" width="9.453125" customWidth="1"/>
    <col min="13072" max="13072" width="21.08984375" customWidth="1"/>
    <col min="13073" max="13073" width="49.6328125" customWidth="1"/>
    <col min="13074" max="13074" width="11.7265625" customWidth="1"/>
    <col min="13313" max="13313" width="24.7265625" customWidth="1"/>
    <col min="13314" max="13314" width="29.7265625" customWidth="1"/>
    <col min="13315" max="13315" width="3.7265625" customWidth="1"/>
    <col min="13316" max="13316" width="15.453125" customWidth="1"/>
    <col min="13317" max="13317" width="19.90625" customWidth="1"/>
    <col min="13318" max="13318" width="1.7265625" customWidth="1"/>
    <col min="13319" max="13319" width="4.6328125" customWidth="1"/>
    <col min="13320" max="13320" width="28.6328125" customWidth="1"/>
    <col min="13321" max="13321" width="57.6328125" customWidth="1"/>
    <col min="13322" max="13322" width="9.7265625" customWidth="1"/>
    <col min="13323" max="13323" width="0.90625" customWidth="1"/>
    <col min="13324" max="13324" width="4.6328125" customWidth="1"/>
    <col min="13325" max="13325" width="28.36328125" customWidth="1"/>
    <col min="13326" max="13326" width="57.6328125" customWidth="1"/>
    <col min="13327" max="13327" width="9.453125" customWidth="1"/>
    <col min="13328" max="13328" width="21.08984375" customWidth="1"/>
    <col min="13329" max="13329" width="49.6328125" customWidth="1"/>
    <col min="13330" max="13330" width="11.7265625" customWidth="1"/>
    <col min="13569" max="13569" width="24.7265625" customWidth="1"/>
    <col min="13570" max="13570" width="29.7265625" customWidth="1"/>
    <col min="13571" max="13571" width="3.7265625" customWidth="1"/>
    <col min="13572" max="13572" width="15.453125" customWidth="1"/>
    <col min="13573" max="13573" width="19.90625" customWidth="1"/>
    <col min="13574" max="13574" width="1.7265625" customWidth="1"/>
    <col min="13575" max="13575" width="4.6328125" customWidth="1"/>
    <col min="13576" max="13576" width="28.6328125" customWidth="1"/>
    <col min="13577" max="13577" width="57.6328125" customWidth="1"/>
    <col min="13578" max="13578" width="9.7265625" customWidth="1"/>
    <col min="13579" max="13579" width="0.90625" customWidth="1"/>
    <col min="13580" max="13580" width="4.6328125" customWidth="1"/>
    <col min="13581" max="13581" width="28.36328125" customWidth="1"/>
    <col min="13582" max="13582" width="57.6328125" customWidth="1"/>
    <col min="13583" max="13583" width="9.453125" customWidth="1"/>
    <col min="13584" max="13584" width="21.08984375" customWidth="1"/>
    <col min="13585" max="13585" width="49.6328125" customWidth="1"/>
    <col min="13586" max="13586" width="11.7265625" customWidth="1"/>
    <col min="13825" max="13825" width="24.7265625" customWidth="1"/>
    <col min="13826" max="13826" width="29.7265625" customWidth="1"/>
    <col min="13827" max="13827" width="3.7265625" customWidth="1"/>
    <col min="13828" max="13828" width="15.453125" customWidth="1"/>
    <col min="13829" max="13829" width="19.90625" customWidth="1"/>
    <col min="13830" max="13830" width="1.7265625" customWidth="1"/>
    <col min="13831" max="13831" width="4.6328125" customWidth="1"/>
    <col min="13832" max="13832" width="28.6328125" customWidth="1"/>
    <col min="13833" max="13833" width="57.6328125" customWidth="1"/>
    <col min="13834" max="13834" width="9.7265625" customWidth="1"/>
    <col min="13835" max="13835" width="0.90625" customWidth="1"/>
    <col min="13836" max="13836" width="4.6328125" customWidth="1"/>
    <col min="13837" max="13837" width="28.36328125" customWidth="1"/>
    <col min="13838" max="13838" width="57.6328125" customWidth="1"/>
    <col min="13839" max="13839" width="9.453125" customWidth="1"/>
    <col min="13840" max="13840" width="21.08984375" customWidth="1"/>
    <col min="13841" max="13841" width="49.6328125" customWidth="1"/>
    <col min="13842" max="13842" width="11.7265625" customWidth="1"/>
    <col min="14081" max="14081" width="24.7265625" customWidth="1"/>
    <col min="14082" max="14082" width="29.7265625" customWidth="1"/>
    <col min="14083" max="14083" width="3.7265625" customWidth="1"/>
    <col min="14084" max="14084" width="15.453125" customWidth="1"/>
    <col min="14085" max="14085" width="19.90625" customWidth="1"/>
    <col min="14086" max="14086" width="1.7265625" customWidth="1"/>
    <col min="14087" max="14087" width="4.6328125" customWidth="1"/>
    <col min="14088" max="14088" width="28.6328125" customWidth="1"/>
    <col min="14089" max="14089" width="57.6328125" customWidth="1"/>
    <col min="14090" max="14090" width="9.7265625" customWidth="1"/>
    <col min="14091" max="14091" width="0.90625" customWidth="1"/>
    <col min="14092" max="14092" width="4.6328125" customWidth="1"/>
    <col min="14093" max="14093" width="28.36328125" customWidth="1"/>
    <col min="14094" max="14094" width="57.6328125" customWidth="1"/>
    <col min="14095" max="14095" width="9.453125" customWidth="1"/>
    <col min="14096" max="14096" width="21.08984375" customWidth="1"/>
    <col min="14097" max="14097" width="49.6328125" customWidth="1"/>
    <col min="14098" max="14098" width="11.7265625" customWidth="1"/>
    <col min="14337" max="14337" width="24.7265625" customWidth="1"/>
    <col min="14338" max="14338" width="29.7265625" customWidth="1"/>
    <col min="14339" max="14339" width="3.7265625" customWidth="1"/>
    <col min="14340" max="14340" width="15.453125" customWidth="1"/>
    <col min="14341" max="14341" width="19.90625" customWidth="1"/>
    <col min="14342" max="14342" width="1.7265625" customWidth="1"/>
    <col min="14343" max="14343" width="4.6328125" customWidth="1"/>
    <col min="14344" max="14344" width="28.6328125" customWidth="1"/>
    <col min="14345" max="14345" width="57.6328125" customWidth="1"/>
    <col min="14346" max="14346" width="9.7265625" customWidth="1"/>
    <col min="14347" max="14347" width="0.90625" customWidth="1"/>
    <col min="14348" max="14348" width="4.6328125" customWidth="1"/>
    <col min="14349" max="14349" width="28.36328125" customWidth="1"/>
    <col min="14350" max="14350" width="57.6328125" customWidth="1"/>
    <col min="14351" max="14351" width="9.453125" customWidth="1"/>
    <col min="14352" max="14352" width="21.08984375" customWidth="1"/>
    <col min="14353" max="14353" width="49.6328125" customWidth="1"/>
    <col min="14354" max="14354" width="11.7265625" customWidth="1"/>
    <col min="14593" max="14593" width="24.7265625" customWidth="1"/>
    <col min="14594" max="14594" width="29.7265625" customWidth="1"/>
    <col min="14595" max="14595" width="3.7265625" customWidth="1"/>
    <col min="14596" max="14596" width="15.453125" customWidth="1"/>
    <col min="14597" max="14597" width="19.90625" customWidth="1"/>
    <col min="14598" max="14598" width="1.7265625" customWidth="1"/>
    <col min="14599" max="14599" width="4.6328125" customWidth="1"/>
    <col min="14600" max="14600" width="28.6328125" customWidth="1"/>
    <col min="14601" max="14601" width="57.6328125" customWidth="1"/>
    <col min="14602" max="14602" width="9.7265625" customWidth="1"/>
    <col min="14603" max="14603" width="0.90625" customWidth="1"/>
    <col min="14604" max="14604" width="4.6328125" customWidth="1"/>
    <col min="14605" max="14605" width="28.36328125" customWidth="1"/>
    <col min="14606" max="14606" width="57.6328125" customWidth="1"/>
    <col min="14607" max="14607" width="9.453125" customWidth="1"/>
    <col min="14608" max="14608" width="21.08984375" customWidth="1"/>
    <col min="14609" max="14609" width="49.6328125" customWidth="1"/>
    <col min="14610" max="14610" width="11.7265625" customWidth="1"/>
    <col min="14849" max="14849" width="24.7265625" customWidth="1"/>
    <col min="14850" max="14850" width="29.7265625" customWidth="1"/>
    <col min="14851" max="14851" width="3.7265625" customWidth="1"/>
    <col min="14852" max="14852" width="15.453125" customWidth="1"/>
    <col min="14853" max="14853" width="19.90625" customWidth="1"/>
    <col min="14854" max="14854" width="1.7265625" customWidth="1"/>
    <col min="14855" max="14855" width="4.6328125" customWidth="1"/>
    <col min="14856" max="14856" width="28.6328125" customWidth="1"/>
    <col min="14857" max="14857" width="57.6328125" customWidth="1"/>
    <col min="14858" max="14858" width="9.7265625" customWidth="1"/>
    <col min="14859" max="14859" width="0.90625" customWidth="1"/>
    <col min="14860" max="14860" width="4.6328125" customWidth="1"/>
    <col min="14861" max="14861" width="28.36328125" customWidth="1"/>
    <col min="14862" max="14862" width="57.6328125" customWidth="1"/>
    <col min="14863" max="14863" width="9.453125" customWidth="1"/>
    <col min="14864" max="14864" width="21.08984375" customWidth="1"/>
    <col min="14865" max="14865" width="49.6328125" customWidth="1"/>
    <col min="14866" max="14866" width="11.7265625" customWidth="1"/>
    <col min="15105" max="15105" width="24.7265625" customWidth="1"/>
    <col min="15106" max="15106" width="29.7265625" customWidth="1"/>
    <col min="15107" max="15107" width="3.7265625" customWidth="1"/>
    <col min="15108" max="15108" width="15.453125" customWidth="1"/>
    <col min="15109" max="15109" width="19.90625" customWidth="1"/>
    <col min="15110" max="15110" width="1.7265625" customWidth="1"/>
    <col min="15111" max="15111" width="4.6328125" customWidth="1"/>
    <col min="15112" max="15112" width="28.6328125" customWidth="1"/>
    <col min="15113" max="15113" width="57.6328125" customWidth="1"/>
    <col min="15114" max="15114" width="9.7265625" customWidth="1"/>
    <col min="15115" max="15115" width="0.90625" customWidth="1"/>
    <col min="15116" max="15116" width="4.6328125" customWidth="1"/>
    <col min="15117" max="15117" width="28.36328125" customWidth="1"/>
    <col min="15118" max="15118" width="57.6328125" customWidth="1"/>
    <col min="15119" max="15119" width="9.453125" customWidth="1"/>
    <col min="15120" max="15120" width="21.08984375" customWidth="1"/>
    <col min="15121" max="15121" width="49.6328125" customWidth="1"/>
    <col min="15122" max="15122" width="11.7265625" customWidth="1"/>
    <col min="15361" max="15361" width="24.7265625" customWidth="1"/>
    <col min="15362" max="15362" width="29.7265625" customWidth="1"/>
    <col min="15363" max="15363" width="3.7265625" customWidth="1"/>
    <col min="15364" max="15364" width="15.453125" customWidth="1"/>
    <col min="15365" max="15365" width="19.90625" customWidth="1"/>
    <col min="15366" max="15366" width="1.7265625" customWidth="1"/>
    <col min="15367" max="15367" width="4.6328125" customWidth="1"/>
    <col min="15368" max="15368" width="28.6328125" customWidth="1"/>
    <col min="15369" max="15369" width="57.6328125" customWidth="1"/>
    <col min="15370" max="15370" width="9.7265625" customWidth="1"/>
    <col min="15371" max="15371" width="0.90625" customWidth="1"/>
    <col min="15372" max="15372" width="4.6328125" customWidth="1"/>
    <col min="15373" max="15373" width="28.36328125" customWidth="1"/>
    <col min="15374" max="15374" width="57.6328125" customWidth="1"/>
    <col min="15375" max="15375" width="9.453125" customWidth="1"/>
    <col min="15376" max="15376" width="21.08984375" customWidth="1"/>
    <col min="15377" max="15377" width="49.6328125" customWidth="1"/>
    <col min="15378" max="15378" width="11.7265625" customWidth="1"/>
    <col min="15617" max="15617" width="24.7265625" customWidth="1"/>
    <col min="15618" max="15618" width="29.7265625" customWidth="1"/>
    <col min="15619" max="15619" width="3.7265625" customWidth="1"/>
    <col min="15620" max="15620" width="15.453125" customWidth="1"/>
    <col min="15621" max="15621" width="19.90625" customWidth="1"/>
    <col min="15622" max="15622" width="1.7265625" customWidth="1"/>
    <col min="15623" max="15623" width="4.6328125" customWidth="1"/>
    <col min="15624" max="15624" width="28.6328125" customWidth="1"/>
    <col min="15625" max="15625" width="57.6328125" customWidth="1"/>
    <col min="15626" max="15626" width="9.7265625" customWidth="1"/>
    <col min="15627" max="15627" width="0.90625" customWidth="1"/>
    <col min="15628" max="15628" width="4.6328125" customWidth="1"/>
    <col min="15629" max="15629" width="28.36328125" customWidth="1"/>
    <col min="15630" max="15630" width="57.6328125" customWidth="1"/>
    <col min="15631" max="15631" width="9.453125" customWidth="1"/>
    <col min="15632" max="15632" width="21.08984375" customWidth="1"/>
    <col min="15633" max="15633" width="49.6328125" customWidth="1"/>
    <col min="15634" max="15634" width="11.7265625" customWidth="1"/>
    <col min="15873" max="15873" width="24.7265625" customWidth="1"/>
    <col min="15874" max="15874" width="29.7265625" customWidth="1"/>
    <col min="15875" max="15875" width="3.7265625" customWidth="1"/>
    <col min="15876" max="15876" width="15.453125" customWidth="1"/>
    <col min="15877" max="15877" width="19.90625" customWidth="1"/>
    <col min="15878" max="15878" width="1.7265625" customWidth="1"/>
    <col min="15879" max="15879" width="4.6328125" customWidth="1"/>
    <col min="15880" max="15880" width="28.6328125" customWidth="1"/>
    <col min="15881" max="15881" width="57.6328125" customWidth="1"/>
    <col min="15882" max="15882" width="9.7265625" customWidth="1"/>
    <col min="15883" max="15883" width="0.90625" customWidth="1"/>
    <col min="15884" max="15884" width="4.6328125" customWidth="1"/>
    <col min="15885" max="15885" width="28.36328125" customWidth="1"/>
    <col min="15886" max="15886" width="57.6328125" customWidth="1"/>
    <col min="15887" max="15887" width="9.453125" customWidth="1"/>
    <col min="15888" max="15888" width="21.08984375" customWidth="1"/>
    <col min="15889" max="15889" width="49.6328125" customWidth="1"/>
    <col min="15890" max="15890" width="11.7265625" customWidth="1"/>
    <col min="16129" max="16129" width="24.7265625" customWidth="1"/>
    <col min="16130" max="16130" width="29.7265625" customWidth="1"/>
    <col min="16131" max="16131" width="3.7265625" customWidth="1"/>
    <col min="16132" max="16132" width="15.453125" customWidth="1"/>
    <col min="16133" max="16133" width="19.90625" customWidth="1"/>
    <col min="16134" max="16134" width="1.7265625" customWidth="1"/>
    <col min="16135" max="16135" width="4.6328125" customWidth="1"/>
    <col min="16136" max="16136" width="28.6328125" customWidth="1"/>
    <col min="16137" max="16137" width="57.6328125" customWidth="1"/>
    <col min="16138" max="16138" width="9.7265625" customWidth="1"/>
    <col min="16139" max="16139" width="0.90625" customWidth="1"/>
    <col min="16140" max="16140" width="4.6328125" customWidth="1"/>
    <col min="16141" max="16141" width="28.36328125" customWidth="1"/>
    <col min="16142" max="16142" width="57.6328125" customWidth="1"/>
    <col min="16143" max="16143" width="9.453125" customWidth="1"/>
    <col min="16144" max="16144" width="21.08984375" customWidth="1"/>
    <col min="16145" max="16145" width="49.6328125" customWidth="1"/>
    <col min="16146" max="16146" width="11.7265625" customWidth="1"/>
  </cols>
  <sheetData>
    <row r="1" spans="1:16" ht="21.5" thickBot="1">
      <c r="A1" s="744" t="s">
        <v>2403</v>
      </c>
      <c r="B1" s="2540"/>
      <c r="E1" s="2541"/>
      <c r="G1" s="1016" t="s">
        <v>1502</v>
      </c>
      <c r="H1" s="1016"/>
      <c r="I1" s="1016"/>
      <c r="J1" s="1016"/>
      <c r="L1" s="1016" t="s">
        <v>1502</v>
      </c>
      <c r="M1" s="1016"/>
      <c r="N1" s="1016"/>
      <c r="O1" s="1016"/>
    </row>
    <row r="2" spans="1:16" ht="22.5" customHeight="1">
      <c r="A2" s="2542"/>
      <c r="G2" s="745" t="s">
        <v>1503</v>
      </c>
      <c r="H2" s="2543" t="s">
        <v>1504</v>
      </c>
      <c r="I2" s="2544" t="s">
        <v>1505</v>
      </c>
      <c r="J2" s="746" t="s">
        <v>1506</v>
      </c>
      <c r="K2" s="2545"/>
      <c r="L2" s="745" t="s">
        <v>1503</v>
      </c>
      <c r="M2" s="2543" t="s">
        <v>1504</v>
      </c>
      <c r="N2" s="2546" t="s">
        <v>1505</v>
      </c>
      <c r="O2" s="746" t="s">
        <v>1506</v>
      </c>
      <c r="P2" s="2547"/>
    </row>
    <row r="3" spans="1:16" ht="13.5" customHeight="1">
      <c r="A3" s="2548" t="s">
        <v>1507</v>
      </c>
      <c r="B3" s="2549"/>
      <c r="C3" s="2549"/>
      <c r="D3" s="2549"/>
      <c r="E3" s="2550"/>
      <c r="G3" s="1002">
        <v>1</v>
      </c>
      <c r="H3" s="1014" t="s">
        <v>1508</v>
      </c>
      <c r="I3" s="2551" t="s">
        <v>1509</v>
      </c>
      <c r="J3" s="2552">
        <v>44651</v>
      </c>
      <c r="K3" s="2553"/>
      <c r="L3" s="1004">
        <v>166</v>
      </c>
      <c r="M3" s="1017" t="s">
        <v>1515</v>
      </c>
      <c r="N3" s="2554" t="s">
        <v>2404</v>
      </c>
      <c r="O3" s="2555">
        <v>44651</v>
      </c>
      <c r="P3" s="2547"/>
    </row>
    <row r="4" spans="1:16">
      <c r="A4" s="2556"/>
      <c r="B4" s="2557"/>
      <c r="C4" s="2557"/>
      <c r="D4" s="2557"/>
      <c r="E4" s="2558"/>
      <c r="G4" s="1002"/>
      <c r="H4" s="1014"/>
      <c r="I4" s="2559" t="s">
        <v>1511</v>
      </c>
      <c r="J4" s="2552"/>
      <c r="K4" s="2553"/>
      <c r="L4" s="1008"/>
      <c r="M4" s="1018"/>
      <c r="N4" s="2560" t="s">
        <v>2405</v>
      </c>
      <c r="O4" s="2561"/>
      <c r="P4" s="2547"/>
    </row>
    <row r="5" spans="1:16" ht="15" customHeight="1">
      <c r="A5" s="2562"/>
      <c r="B5" s="2563"/>
      <c r="C5" s="2563"/>
      <c r="D5" s="2563"/>
      <c r="E5" s="2564"/>
      <c r="F5" s="2565"/>
      <c r="G5" s="1002">
        <v>5</v>
      </c>
      <c r="H5" s="1012" t="s">
        <v>1513</v>
      </c>
      <c r="I5" s="2554" t="s">
        <v>1514</v>
      </c>
      <c r="J5" s="2555">
        <v>44651</v>
      </c>
      <c r="K5" s="2553"/>
      <c r="L5" s="1004">
        <v>182</v>
      </c>
      <c r="M5" s="1006" t="s">
        <v>1520</v>
      </c>
      <c r="N5" s="2554" t="s">
        <v>1521</v>
      </c>
      <c r="O5" s="2555">
        <v>44651</v>
      </c>
      <c r="P5" s="2547"/>
    </row>
    <row r="6" spans="1:16">
      <c r="G6" s="1002"/>
      <c r="H6" s="1013"/>
      <c r="I6" s="2560" t="s">
        <v>1516</v>
      </c>
      <c r="J6" s="2561"/>
      <c r="K6" s="2553"/>
      <c r="L6" s="1008"/>
      <c r="M6" s="1009"/>
      <c r="N6" s="2566" t="s">
        <v>1523</v>
      </c>
      <c r="O6" s="2561"/>
      <c r="P6" s="2547"/>
    </row>
    <row r="7" spans="1:16" ht="14.25" customHeight="1">
      <c r="A7" t="s">
        <v>1517</v>
      </c>
      <c r="C7" s="2565"/>
      <c r="D7" s="2565"/>
      <c r="E7" s="2565"/>
      <c r="G7" s="1002">
        <v>8</v>
      </c>
      <c r="H7" s="1015" t="s">
        <v>1518</v>
      </c>
      <c r="I7" s="2567" t="s">
        <v>1519</v>
      </c>
      <c r="J7" s="2555">
        <v>44651</v>
      </c>
      <c r="K7" s="2553"/>
      <c r="L7" s="1004">
        <v>184</v>
      </c>
      <c r="M7" s="1006" t="s">
        <v>1525</v>
      </c>
      <c r="N7" s="2554" t="s">
        <v>1526</v>
      </c>
      <c r="O7" s="2555">
        <v>44651</v>
      </c>
      <c r="P7" s="2547"/>
    </row>
    <row r="8" spans="1:16">
      <c r="D8" s="2565"/>
      <c r="E8" s="779"/>
      <c r="G8" s="1002"/>
      <c r="H8" s="1013"/>
      <c r="I8" s="2560" t="s">
        <v>1522</v>
      </c>
      <c r="J8" s="2561"/>
      <c r="K8" s="2553"/>
      <c r="L8" s="1008"/>
      <c r="M8" s="1009"/>
      <c r="N8" s="2566" t="s">
        <v>1528</v>
      </c>
      <c r="O8" s="2561"/>
      <c r="P8" s="2547"/>
    </row>
    <row r="9" spans="1:16" ht="13.5" thickBot="1">
      <c r="A9" t="s">
        <v>1524</v>
      </c>
      <c r="D9" s="2565"/>
      <c r="E9" s="779"/>
      <c r="G9" s="1010">
        <v>14</v>
      </c>
      <c r="H9" s="1012" t="s">
        <v>2406</v>
      </c>
      <c r="I9" s="2554" t="s">
        <v>2407</v>
      </c>
      <c r="J9" s="2555">
        <v>44651</v>
      </c>
      <c r="K9" s="2553"/>
      <c r="L9" s="1004">
        <v>192</v>
      </c>
      <c r="M9" s="1006" t="s">
        <v>1533</v>
      </c>
      <c r="N9" s="2554" t="s">
        <v>1534</v>
      </c>
      <c r="O9" s="2555">
        <v>43786</v>
      </c>
      <c r="P9" s="2547"/>
    </row>
    <row r="10" spans="1:16">
      <c r="A10" s="2568" t="s">
        <v>1504</v>
      </c>
      <c r="B10" s="2569" t="s">
        <v>1505</v>
      </c>
      <c r="D10" s="2565"/>
      <c r="E10" s="779"/>
      <c r="G10" s="1011"/>
      <c r="H10" s="1013"/>
      <c r="I10" s="2566" t="s">
        <v>1527</v>
      </c>
      <c r="J10" s="2561"/>
      <c r="K10" s="2553"/>
      <c r="L10" s="1008"/>
      <c r="M10" s="1009"/>
      <c r="N10" s="2566" t="s">
        <v>2408</v>
      </c>
      <c r="O10" s="2561"/>
      <c r="P10" s="2547"/>
    </row>
    <row r="11" spans="1:16" ht="13.5" customHeight="1">
      <c r="A11" s="2570" t="s">
        <v>1529</v>
      </c>
      <c r="B11" s="747" t="s">
        <v>1530</v>
      </c>
      <c r="D11" s="779"/>
      <c r="E11" s="779"/>
      <c r="G11" s="1010">
        <v>17</v>
      </c>
      <c r="H11" s="1012" t="s">
        <v>1531</v>
      </c>
      <c r="I11" s="2551" t="s">
        <v>1532</v>
      </c>
      <c r="J11" s="2555">
        <v>44651</v>
      </c>
      <c r="K11" s="2553"/>
      <c r="L11" s="1004">
        <v>195</v>
      </c>
      <c r="M11" s="1006" t="s">
        <v>1541</v>
      </c>
      <c r="N11" s="2554" t="s">
        <v>1542</v>
      </c>
      <c r="O11" s="2555">
        <v>43865</v>
      </c>
      <c r="P11" s="2547"/>
    </row>
    <row r="12" spans="1:16">
      <c r="A12" s="811" t="s">
        <v>1535</v>
      </c>
      <c r="B12" s="748" t="s">
        <v>1536</v>
      </c>
      <c r="D12" s="779"/>
      <c r="E12" s="779"/>
      <c r="G12" s="1011"/>
      <c r="H12" s="1013" t="s">
        <v>1537</v>
      </c>
      <c r="I12" s="2560" t="s">
        <v>1538</v>
      </c>
      <c r="J12" s="2561"/>
      <c r="K12" s="2553"/>
      <c r="L12" s="1008"/>
      <c r="M12" s="1009"/>
      <c r="N12" s="2566" t="s">
        <v>1546</v>
      </c>
      <c r="O12" s="2561"/>
      <c r="P12" s="2547"/>
    </row>
    <row r="13" spans="1:16">
      <c r="A13" s="810" t="s">
        <v>1529</v>
      </c>
      <c r="B13" s="747" t="s">
        <v>1539</v>
      </c>
      <c r="D13" s="779"/>
      <c r="E13" s="779"/>
      <c r="G13" s="1010">
        <v>18</v>
      </c>
      <c r="H13" s="1012" t="s">
        <v>1540</v>
      </c>
      <c r="I13" s="2551" t="s">
        <v>2409</v>
      </c>
      <c r="J13" s="2555">
        <v>44651</v>
      </c>
      <c r="K13" s="2553"/>
      <c r="L13" s="1004">
        <v>198</v>
      </c>
      <c r="M13" s="1006" t="s">
        <v>1551</v>
      </c>
      <c r="N13" s="2554" t="s">
        <v>1552</v>
      </c>
      <c r="O13" s="2555">
        <v>43921</v>
      </c>
      <c r="P13" s="2547"/>
    </row>
    <row r="14" spans="1:16">
      <c r="A14" s="811" t="s">
        <v>1537</v>
      </c>
      <c r="B14" s="748" t="s">
        <v>1543</v>
      </c>
      <c r="D14" s="779"/>
      <c r="E14" s="779"/>
      <c r="G14" s="1011"/>
      <c r="H14" s="1013" t="s">
        <v>1544</v>
      </c>
      <c r="I14" s="2559" t="s">
        <v>1545</v>
      </c>
      <c r="J14" s="2561"/>
      <c r="K14" s="2553"/>
      <c r="L14" s="1008"/>
      <c r="M14" s="1009"/>
      <c r="N14" s="2566" t="s">
        <v>1556</v>
      </c>
      <c r="O14" s="2561"/>
      <c r="P14" s="2547"/>
    </row>
    <row r="15" spans="1:16">
      <c r="A15" s="810" t="s">
        <v>1547</v>
      </c>
      <c r="B15" s="747" t="s">
        <v>1548</v>
      </c>
      <c r="D15" s="779"/>
      <c r="E15" s="779"/>
      <c r="G15" s="1010">
        <v>19</v>
      </c>
      <c r="H15" s="1012" t="s">
        <v>1549</v>
      </c>
      <c r="I15" s="2551" t="s">
        <v>1550</v>
      </c>
      <c r="J15" s="2555">
        <v>44651</v>
      </c>
      <c r="K15" s="2553"/>
      <c r="L15" s="1004">
        <v>201</v>
      </c>
      <c r="M15" s="1006" t="s">
        <v>1561</v>
      </c>
      <c r="N15" s="2554" t="s">
        <v>1562</v>
      </c>
      <c r="O15" s="2555">
        <v>43922</v>
      </c>
      <c r="P15" s="2547"/>
    </row>
    <row r="16" spans="1:16">
      <c r="A16" s="811" t="s">
        <v>1544</v>
      </c>
      <c r="B16" s="748" t="s">
        <v>1553</v>
      </c>
      <c r="D16" s="779"/>
      <c r="E16" s="779"/>
      <c r="G16" s="1011"/>
      <c r="H16" s="1013" t="s">
        <v>1554</v>
      </c>
      <c r="I16" s="2559" t="s">
        <v>1555</v>
      </c>
      <c r="J16" s="2561"/>
      <c r="K16" s="2553"/>
      <c r="L16" s="1008"/>
      <c r="M16" s="1009"/>
      <c r="N16" s="2566" t="s">
        <v>1566</v>
      </c>
      <c r="O16" s="2561"/>
      <c r="P16" s="2547"/>
    </row>
    <row r="17" spans="1:16" ht="13.5" customHeight="1">
      <c r="A17" s="1004" t="s">
        <v>1557</v>
      </c>
      <c r="B17" s="747" t="s">
        <v>1558</v>
      </c>
      <c r="D17" s="779"/>
      <c r="E17" s="779"/>
      <c r="G17" s="1010">
        <v>20</v>
      </c>
      <c r="H17" s="1012" t="s">
        <v>1559</v>
      </c>
      <c r="I17" s="2551" t="s">
        <v>1560</v>
      </c>
      <c r="J17" s="2555">
        <v>44651</v>
      </c>
      <c r="K17" s="2553"/>
      <c r="L17" s="1004">
        <v>207</v>
      </c>
      <c r="M17" s="1006" t="s">
        <v>1571</v>
      </c>
      <c r="N17" s="2554" t="s">
        <v>1572</v>
      </c>
      <c r="O17" s="2555">
        <v>44272</v>
      </c>
      <c r="P17" s="2547"/>
    </row>
    <row r="18" spans="1:16">
      <c r="A18" s="1008"/>
      <c r="B18" s="748" t="s">
        <v>1563</v>
      </c>
      <c r="D18" s="779"/>
      <c r="E18" s="779"/>
      <c r="G18" s="1011"/>
      <c r="H18" s="1013" t="s">
        <v>1564</v>
      </c>
      <c r="I18" s="2559" t="s">
        <v>1565</v>
      </c>
      <c r="J18" s="2561"/>
      <c r="K18" s="2553"/>
      <c r="L18" s="1008"/>
      <c r="M18" s="1009"/>
      <c r="N18" s="2566" t="s">
        <v>1576</v>
      </c>
      <c r="O18" s="2561"/>
      <c r="P18" s="2547"/>
    </row>
    <row r="19" spans="1:16" ht="13.5" customHeight="1">
      <c r="A19" s="810" t="s">
        <v>1567</v>
      </c>
      <c r="B19" s="747" t="s">
        <v>1568</v>
      </c>
      <c r="D19" s="779"/>
      <c r="E19" s="779"/>
      <c r="G19" s="1010">
        <v>21</v>
      </c>
      <c r="H19" s="1012" t="s">
        <v>1569</v>
      </c>
      <c r="I19" s="2551" t="s">
        <v>1570</v>
      </c>
      <c r="J19" s="2555">
        <v>44651</v>
      </c>
      <c r="K19" s="2553"/>
      <c r="L19" s="1004">
        <v>208</v>
      </c>
      <c r="M19" s="1006" t="s">
        <v>1581</v>
      </c>
      <c r="N19" s="2554" t="s">
        <v>2410</v>
      </c>
      <c r="O19" s="2555">
        <v>44277</v>
      </c>
      <c r="P19" s="2547"/>
    </row>
    <row r="20" spans="1:16">
      <c r="A20" s="811" t="s">
        <v>1564</v>
      </c>
      <c r="B20" s="748" t="s">
        <v>1573</v>
      </c>
      <c r="D20" s="779"/>
      <c r="E20" s="779"/>
      <c r="G20" s="1011"/>
      <c r="H20" s="1013" t="s">
        <v>1574</v>
      </c>
      <c r="I20" s="2559" t="s">
        <v>1575</v>
      </c>
      <c r="J20" s="2561"/>
      <c r="K20" s="2553"/>
      <c r="L20" s="1008"/>
      <c r="M20" s="1009"/>
      <c r="N20" s="2566" t="s">
        <v>1585</v>
      </c>
      <c r="O20" s="2561"/>
      <c r="P20" s="2547"/>
    </row>
    <row r="21" spans="1:16">
      <c r="A21" s="810" t="s">
        <v>1577</v>
      </c>
      <c r="B21" s="747" t="s">
        <v>1578</v>
      </c>
      <c r="D21" s="779"/>
      <c r="E21" s="779"/>
      <c r="G21" s="1010">
        <v>24</v>
      </c>
      <c r="H21" s="1012" t="s">
        <v>1579</v>
      </c>
      <c r="I21" s="2551" t="s">
        <v>1580</v>
      </c>
      <c r="J21" s="2555">
        <v>44651</v>
      </c>
      <c r="K21" s="2553"/>
      <c r="L21" s="1004">
        <v>218</v>
      </c>
      <c r="M21" s="1006" t="s">
        <v>1590</v>
      </c>
      <c r="N21" s="2554" t="s">
        <v>2411</v>
      </c>
      <c r="O21" s="2555">
        <v>44626</v>
      </c>
      <c r="P21" s="2547"/>
    </row>
    <row r="22" spans="1:16">
      <c r="A22" s="811" t="s">
        <v>1582</v>
      </c>
      <c r="B22" s="748" t="s">
        <v>1583</v>
      </c>
      <c r="D22" s="779"/>
      <c r="E22" s="779"/>
      <c r="G22" s="1011"/>
      <c r="H22" s="1013"/>
      <c r="I22" s="2559" t="s">
        <v>1584</v>
      </c>
      <c r="J22" s="2561"/>
      <c r="K22" s="2553"/>
      <c r="L22" s="1008"/>
      <c r="M22" s="1009"/>
      <c r="N22" s="2566" t="s">
        <v>1593</v>
      </c>
      <c r="O22" s="2561"/>
      <c r="P22" s="2547"/>
    </row>
    <row r="23" spans="1:16" ht="14.25" customHeight="1">
      <c r="A23" s="810" t="s">
        <v>1586</v>
      </c>
      <c r="B23" s="747" t="s">
        <v>1587</v>
      </c>
      <c r="D23" s="779"/>
      <c r="E23" s="779"/>
      <c r="G23" s="1010">
        <v>26</v>
      </c>
      <c r="H23" s="1012" t="s">
        <v>1588</v>
      </c>
      <c r="I23" s="2551" t="s">
        <v>1589</v>
      </c>
      <c r="J23" s="2555">
        <v>44651</v>
      </c>
      <c r="K23" s="2553"/>
      <c r="L23" s="1004">
        <v>224</v>
      </c>
      <c r="M23" s="1006" t="s">
        <v>1596</v>
      </c>
      <c r="N23" s="2554" t="s">
        <v>1597</v>
      </c>
      <c r="O23" s="2555">
        <v>43852</v>
      </c>
      <c r="P23" s="2547"/>
    </row>
    <row r="24" spans="1:16" ht="13.5" thickBot="1">
      <c r="A24" s="812" t="s">
        <v>1574</v>
      </c>
      <c r="B24" s="749" t="s">
        <v>1591</v>
      </c>
      <c r="D24" s="779"/>
      <c r="E24" s="779"/>
      <c r="G24" s="1011"/>
      <c r="H24" s="1013"/>
      <c r="I24" s="2559" t="s">
        <v>1592</v>
      </c>
      <c r="J24" s="2561"/>
      <c r="K24" s="2553"/>
      <c r="L24" s="1008"/>
      <c r="M24" s="1009"/>
      <c r="N24" s="2566" t="s">
        <v>1599</v>
      </c>
      <c r="O24" s="2561"/>
      <c r="P24" s="2547"/>
    </row>
    <row r="25" spans="1:16" ht="13.5" customHeight="1">
      <c r="D25" s="779"/>
      <c r="E25" s="779"/>
      <c r="G25" s="1010">
        <v>27</v>
      </c>
      <c r="H25" s="1012" t="s">
        <v>1594</v>
      </c>
      <c r="I25" s="2551" t="s">
        <v>1595</v>
      </c>
      <c r="J25" s="2555">
        <v>44651</v>
      </c>
      <c r="K25" s="2553"/>
      <c r="L25" s="1004">
        <v>227</v>
      </c>
      <c r="M25" s="1006" t="s">
        <v>1602</v>
      </c>
      <c r="N25" s="2554" t="s">
        <v>1603</v>
      </c>
      <c r="O25" s="2555">
        <v>44009</v>
      </c>
      <c r="P25" s="2547"/>
    </row>
    <row r="26" spans="1:16">
      <c r="D26" s="779"/>
      <c r="E26" s="779"/>
      <c r="G26" s="1011"/>
      <c r="H26" s="1013"/>
      <c r="I26" s="2559" t="s">
        <v>1598</v>
      </c>
      <c r="J26" s="2561"/>
      <c r="K26" s="2553"/>
      <c r="L26" s="1008"/>
      <c r="M26" s="1009"/>
      <c r="N26" s="2566" t="s">
        <v>2412</v>
      </c>
      <c r="O26" s="2561"/>
      <c r="P26" s="2547"/>
    </row>
    <row r="27" spans="1:16">
      <c r="D27" s="779"/>
      <c r="E27" s="779"/>
      <c r="G27" s="1004">
        <v>56</v>
      </c>
      <c r="H27" s="1012" t="s">
        <v>1600</v>
      </c>
      <c r="I27" s="2551" t="s">
        <v>1601</v>
      </c>
      <c r="J27" s="2555">
        <v>44651</v>
      </c>
      <c r="K27" s="2553"/>
      <c r="L27" s="1004">
        <v>229</v>
      </c>
      <c r="M27" s="1006" t="s">
        <v>1606</v>
      </c>
      <c r="N27" s="2554" t="s">
        <v>1607</v>
      </c>
      <c r="O27" s="2555">
        <v>44203</v>
      </c>
      <c r="P27" s="2547"/>
    </row>
    <row r="28" spans="1:16">
      <c r="G28" s="1008"/>
      <c r="H28" s="1013"/>
      <c r="I28" s="2559" t="s">
        <v>1604</v>
      </c>
      <c r="J28" s="2561"/>
      <c r="K28" s="2553"/>
      <c r="L28" s="1008"/>
      <c r="M28" s="1009"/>
      <c r="N28" s="2566" t="s">
        <v>2413</v>
      </c>
      <c r="O28" s="2561"/>
      <c r="P28" s="2547"/>
    </row>
    <row r="29" spans="1:16" ht="13.5" customHeight="1">
      <c r="G29" s="1004">
        <v>65</v>
      </c>
      <c r="H29" s="1012" t="s">
        <v>1605</v>
      </c>
      <c r="I29" s="2551" t="s">
        <v>2414</v>
      </c>
      <c r="J29" s="2555">
        <v>44651</v>
      </c>
      <c r="K29" s="2553"/>
      <c r="L29" s="1004">
        <v>253</v>
      </c>
      <c r="M29" s="1006" t="s">
        <v>1610</v>
      </c>
      <c r="N29" s="2571" t="s">
        <v>1611</v>
      </c>
      <c r="O29" s="2555">
        <v>43627</v>
      </c>
      <c r="P29" s="2547"/>
    </row>
    <row r="30" spans="1:16">
      <c r="G30" s="1008"/>
      <c r="H30" s="1013"/>
      <c r="I30" s="2559" t="s">
        <v>2415</v>
      </c>
      <c r="J30" s="2561"/>
      <c r="K30" s="2553"/>
      <c r="L30" s="1008"/>
      <c r="M30" s="1009"/>
      <c r="N30" s="2566" t="s">
        <v>2416</v>
      </c>
      <c r="O30" s="2561"/>
      <c r="P30" s="2547"/>
    </row>
    <row r="31" spans="1:16">
      <c r="G31" s="1004">
        <v>69</v>
      </c>
      <c r="H31" s="1012" t="s">
        <v>1608</v>
      </c>
      <c r="I31" s="2551" t="s">
        <v>1609</v>
      </c>
      <c r="J31" s="2555">
        <v>44651</v>
      </c>
      <c r="K31" s="2553"/>
      <c r="L31" s="1004">
        <v>257</v>
      </c>
      <c r="M31" s="1006" t="s">
        <v>1614</v>
      </c>
      <c r="N31" s="2571" t="s">
        <v>2417</v>
      </c>
      <c r="O31" s="2555">
        <v>44219</v>
      </c>
      <c r="P31" s="2547"/>
    </row>
    <row r="32" spans="1:16">
      <c r="G32" s="1008"/>
      <c r="H32" s="1013"/>
      <c r="I32" s="2559" t="s">
        <v>1612</v>
      </c>
      <c r="J32" s="2561"/>
      <c r="K32" s="2553"/>
      <c r="L32" s="1008"/>
      <c r="M32" s="1009"/>
      <c r="N32" s="2572" t="s">
        <v>2418</v>
      </c>
      <c r="O32" s="2561"/>
      <c r="P32" s="2547"/>
    </row>
    <row r="33" spans="7:16">
      <c r="G33" s="1004">
        <v>73</v>
      </c>
      <c r="H33" s="1012" t="s">
        <v>1613</v>
      </c>
      <c r="I33" s="2573" t="s">
        <v>2419</v>
      </c>
      <c r="J33" s="2555">
        <v>44651</v>
      </c>
      <c r="K33" s="2553"/>
      <c r="L33" s="1004">
        <v>260</v>
      </c>
      <c r="M33" s="1012" t="s">
        <v>1617</v>
      </c>
      <c r="N33" s="2554" t="s">
        <v>1618</v>
      </c>
      <c r="O33" s="2555">
        <v>44562</v>
      </c>
      <c r="P33" s="2547"/>
    </row>
    <row r="34" spans="7:16">
      <c r="G34" s="1008"/>
      <c r="H34" s="1013"/>
      <c r="I34" s="2559" t="s">
        <v>2420</v>
      </c>
      <c r="J34" s="2561"/>
      <c r="K34" s="2553"/>
      <c r="L34" s="1008"/>
      <c r="M34" s="1013"/>
      <c r="N34" s="2574" t="s">
        <v>2421</v>
      </c>
      <c r="O34" s="2561"/>
      <c r="P34" s="750"/>
    </row>
    <row r="35" spans="7:16" ht="13.5" customHeight="1">
      <c r="G35" s="1004">
        <v>75</v>
      </c>
      <c r="H35" s="1012" t="s">
        <v>1615</v>
      </c>
      <c r="I35" s="2551" t="s">
        <v>1616</v>
      </c>
      <c r="J35" s="2555">
        <v>44651</v>
      </c>
      <c r="K35" s="2553"/>
      <c r="L35" s="1004">
        <v>263</v>
      </c>
      <c r="M35" s="1012" t="s">
        <v>1622</v>
      </c>
      <c r="N35" s="2551" t="s">
        <v>2422</v>
      </c>
      <c r="O35" s="2555">
        <v>43983</v>
      </c>
      <c r="P35" s="750"/>
    </row>
    <row r="36" spans="7:16">
      <c r="G36" s="1008"/>
      <c r="H36" s="1013"/>
      <c r="I36" s="2559" t="s">
        <v>1619</v>
      </c>
      <c r="J36" s="2561"/>
      <c r="K36" s="2553"/>
      <c r="L36" s="1008"/>
      <c r="M36" s="1013"/>
      <c r="N36" s="2559" t="s">
        <v>1624</v>
      </c>
      <c r="O36" s="2561"/>
      <c r="P36" s="750"/>
    </row>
    <row r="37" spans="7:16" ht="13.5" customHeight="1">
      <c r="G37" s="1004">
        <v>77</v>
      </c>
      <c r="H37" s="1012" t="s">
        <v>1620</v>
      </c>
      <c r="I37" s="2551" t="s">
        <v>1621</v>
      </c>
      <c r="J37" s="2555">
        <v>44651</v>
      </c>
      <c r="K37" s="2553"/>
      <c r="L37" s="1004">
        <v>265</v>
      </c>
      <c r="M37" s="1012" t="s">
        <v>1627</v>
      </c>
      <c r="N37" s="2554" t="s">
        <v>1628</v>
      </c>
      <c r="O37" s="2555">
        <v>44277</v>
      </c>
      <c r="P37" s="750"/>
    </row>
    <row r="38" spans="7:16" ht="13.5" thickBot="1">
      <c r="G38" s="1008"/>
      <c r="H38" s="1013"/>
      <c r="I38" s="2559" t="s">
        <v>1623</v>
      </c>
      <c r="J38" s="2561"/>
      <c r="K38" s="2553"/>
      <c r="L38" s="1005"/>
      <c r="M38" s="2575"/>
      <c r="N38" s="2576" t="s">
        <v>2423</v>
      </c>
      <c r="O38" s="2577"/>
      <c r="P38" s="2547"/>
    </row>
    <row r="39" spans="7:16">
      <c r="G39" s="1004">
        <v>78</v>
      </c>
      <c r="H39" s="1012" t="s">
        <v>1625</v>
      </c>
      <c r="I39" s="2551" t="s">
        <v>1626</v>
      </c>
      <c r="J39" s="2555">
        <v>44651</v>
      </c>
      <c r="K39" s="2553"/>
    </row>
    <row r="40" spans="7:16">
      <c r="G40" s="1008"/>
      <c r="H40" s="1013"/>
      <c r="I40" s="2559" t="s">
        <v>1629</v>
      </c>
      <c r="J40" s="2561"/>
      <c r="K40" s="2553"/>
      <c r="L40" t="s">
        <v>1633</v>
      </c>
    </row>
    <row r="41" spans="7:16" ht="13.5" thickBot="1">
      <c r="G41" s="1004">
        <v>83</v>
      </c>
      <c r="H41" s="1012" t="s">
        <v>1630</v>
      </c>
      <c r="I41" s="2551" t="s">
        <v>1631</v>
      </c>
      <c r="J41" s="2555">
        <v>44651</v>
      </c>
      <c r="K41" s="2553"/>
      <c r="L41" t="s">
        <v>1635</v>
      </c>
    </row>
    <row r="42" spans="7:16">
      <c r="G42" s="1008"/>
      <c r="H42" s="1013"/>
      <c r="I42" s="2559" t="s">
        <v>1632</v>
      </c>
      <c r="J42" s="2561"/>
      <c r="K42" s="2553"/>
      <c r="L42" s="2578" t="s">
        <v>496</v>
      </c>
      <c r="M42" s="2543" t="s">
        <v>1504</v>
      </c>
      <c r="N42" s="2544" t="s">
        <v>1505</v>
      </c>
      <c r="O42" s="746" t="s">
        <v>1506</v>
      </c>
    </row>
    <row r="43" spans="7:16">
      <c r="G43" s="1004">
        <v>87</v>
      </c>
      <c r="H43" s="1012" t="s">
        <v>1634</v>
      </c>
      <c r="I43" s="2551" t="s">
        <v>2424</v>
      </c>
      <c r="J43" s="2555">
        <v>44651</v>
      </c>
      <c r="K43" s="2553"/>
      <c r="L43" s="1004">
        <v>2</v>
      </c>
      <c r="M43" s="1012" t="s">
        <v>1638</v>
      </c>
      <c r="N43" s="2551" t="s">
        <v>1509</v>
      </c>
      <c r="O43" s="2555">
        <v>44651</v>
      </c>
    </row>
    <row r="44" spans="7:16">
      <c r="G44" s="1008"/>
      <c r="H44" s="1013"/>
      <c r="I44" s="2559" t="s">
        <v>1636</v>
      </c>
      <c r="J44" s="2561"/>
      <c r="K44" s="2553"/>
      <c r="L44" s="1008"/>
      <c r="M44" s="1013"/>
      <c r="N44" s="2559" t="s">
        <v>1640</v>
      </c>
      <c r="O44" s="2561"/>
    </row>
    <row r="45" spans="7:16">
      <c r="G45" s="1004">
        <v>96</v>
      </c>
      <c r="H45" s="1012" t="s">
        <v>1637</v>
      </c>
      <c r="I45" s="2551" t="s">
        <v>2425</v>
      </c>
      <c r="J45" s="2555">
        <v>44651</v>
      </c>
      <c r="K45" s="2553"/>
      <c r="L45" s="1004">
        <v>11</v>
      </c>
      <c r="M45" s="1006" t="s">
        <v>2426</v>
      </c>
      <c r="N45" s="2554" t="s">
        <v>1514</v>
      </c>
      <c r="O45" s="2555">
        <v>44651</v>
      </c>
    </row>
    <row r="46" spans="7:16">
      <c r="G46" s="1008"/>
      <c r="H46" s="1013"/>
      <c r="I46" s="2559" t="s">
        <v>1639</v>
      </c>
      <c r="J46" s="2561"/>
      <c r="K46" s="2553"/>
      <c r="L46" s="1008"/>
      <c r="M46" s="1009"/>
      <c r="N46" s="2559" t="s">
        <v>1644</v>
      </c>
      <c r="O46" s="2561"/>
    </row>
    <row r="47" spans="7:16" ht="13.5" customHeight="1">
      <c r="G47" s="1004">
        <v>97</v>
      </c>
      <c r="H47" s="1012" t="s">
        <v>1641</v>
      </c>
      <c r="I47" s="2551" t="s">
        <v>1642</v>
      </c>
      <c r="J47" s="2555">
        <v>44651</v>
      </c>
      <c r="K47" s="2553"/>
      <c r="L47" s="1004">
        <v>21</v>
      </c>
      <c r="M47" s="1006" t="s">
        <v>2427</v>
      </c>
      <c r="N47" s="2579" t="s">
        <v>2428</v>
      </c>
      <c r="O47" s="2555">
        <v>44651</v>
      </c>
    </row>
    <row r="48" spans="7:16">
      <c r="G48" s="1008"/>
      <c r="H48" s="1013"/>
      <c r="I48" s="2559" t="s">
        <v>1643</v>
      </c>
      <c r="J48" s="2561"/>
      <c r="K48" s="2553"/>
      <c r="L48" s="1008"/>
      <c r="M48" s="1009"/>
      <c r="N48" s="2559" t="s">
        <v>2429</v>
      </c>
      <c r="O48" s="2561"/>
    </row>
    <row r="49" spans="7:16">
      <c r="G49" s="1004">
        <v>105</v>
      </c>
      <c r="H49" s="1012" t="s">
        <v>1645</v>
      </c>
      <c r="I49" s="2551" t="s">
        <v>1646</v>
      </c>
      <c r="J49" s="2555">
        <v>44651</v>
      </c>
      <c r="K49" s="2553"/>
      <c r="L49" s="1004">
        <v>44</v>
      </c>
      <c r="M49" s="1006" t="s">
        <v>1594</v>
      </c>
      <c r="N49" s="2551" t="s">
        <v>1595</v>
      </c>
      <c r="O49" s="2555">
        <v>44651</v>
      </c>
    </row>
    <row r="50" spans="7:16">
      <c r="G50" s="1008"/>
      <c r="H50" s="1013"/>
      <c r="I50" s="2559" t="s">
        <v>1647</v>
      </c>
      <c r="J50" s="2561"/>
      <c r="K50" s="2553"/>
      <c r="L50" s="1008"/>
      <c r="M50" s="1009"/>
      <c r="N50" s="2559" t="s">
        <v>1648</v>
      </c>
      <c r="O50" s="2561"/>
      <c r="P50" s="2547"/>
    </row>
    <row r="51" spans="7:16">
      <c r="G51" s="1004">
        <v>110</v>
      </c>
      <c r="H51" s="1006" t="s">
        <v>1649</v>
      </c>
      <c r="I51" s="2551" t="s">
        <v>1650</v>
      </c>
      <c r="J51" s="2555">
        <v>44651</v>
      </c>
      <c r="K51" s="2553"/>
      <c r="L51" s="1004">
        <v>55</v>
      </c>
      <c r="M51" s="1006" t="s">
        <v>1651</v>
      </c>
      <c r="N51" s="2551" t="s">
        <v>1532</v>
      </c>
      <c r="O51" s="2555">
        <v>44651</v>
      </c>
      <c r="P51" s="2547"/>
    </row>
    <row r="52" spans="7:16">
      <c r="G52" s="1008"/>
      <c r="H52" s="1009"/>
      <c r="I52" s="2559" t="s">
        <v>1652</v>
      </c>
      <c r="J52" s="2561"/>
      <c r="K52" s="2553"/>
      <c r="L52" s="1008"/>
      <c r="M52" s="1009"/>
      <c r="N52" s="2560" t="s">
        <v>1538</v>
      </c>
      <c r="O52" s="2561"/>
      <c r="P52" s="2547"/>
    </row>
    <row r="53" spans="7:16">
      <c r="G53" s="1004">
        <v>113</v>
      </c>
      <c r="H53" s="1012" t="s">
        <v>1653</v>
      </c>
      <c r="I53" s="2567" t="s">
        <v>1654</v>
      </c>
      <c r="J53" s="2555">
        <v>44651</v>
      </c>
      <c r="K53" s="2553"/>
      <c r="L53" s="1004">
        <v>85</v>
      </c>
      <c r="M53" s="1006" t="s">
        <v>2430</v>
      </c>
      <c r="N53" s="2551" t="s">
        <v>2431</v>
      </c>
      <c r="O53" s="2555">
        <v>43750</v>
      </c>
      <c r="P53" s="2547"/>
    </row>
    <row r="54" spans="7:16">
      <c r="G54" s="1008"/>
      <c r="H54" s="1013"/>
      <c r="I54" s="2580" t="s">
        <v>2432</v>
      </c>
      <c r="J54" s="2561"/>
      <c r="K54" s="2553"/>
      <c r="L54" s="1008"/>
      <c r="M54" s="1009"/>
      <c r="N54" s="2559" t="s">
        <v>1592</v>
      </c>
      <c r="O54" s="2561"/>
      <c r="P54" s="2547"/>
    </row>
    <row r="55" spans="7:16">
      <c r="G55" s="1004">
        <v>114</v>
      </c>
      <c r="H55" s="1006" t="s">
        <v>1655</v>
      </c>
      <c r="I55" s="2567" t="s">
        <v>1656</v>
      </c>
      <c r="J55" s="2555">
        <v>44651</v>
      </c>
      <c r="K55" s="2553"/>
      <c r="L55" s="1004">
        <v>96</v>
      </c>
      <c r="M55" s="1006" t="s">
        <v>1657</v>
      </c>
      <c r="N55" s="2551" t="s">
        <v>2409</v>
      </c>
      <c r="O55" s="2555">
        <v>44177</v>
      </c>
      <c r="P55" s="2547"/>
    </row>
    <row r="56" spans="7:16">
      <c r="G56" s="1008"/>
      <c r="H56" s="1009"/>
      <c r="I56" s="2559" t="s">
        <v>2433</v>
      </c>
      <c r="J56" s="2561"/>
      <c r="K56" s="2553"/>
      <c r="L56" s="1008"/>
      <c r="M56" s="1009"/>
      <c r="N56" s="2559" t="s">
        <v>1545</v>
      </c>
      <c r="O56" s="2561"/>
      <c r="P56" s="2547"/>
    </row>
    <row r="57" spans="7:16">
      <c r="G57" s="1004">
        <v>119</v>
      </c>
      <c r="H57" s="1006" t="s">
        <v>1658</v>
      </c>
      <c r="I57" s="2551" t="s">
        <v>1659</v>
      </c>
      <c r="J57" s="2555">
        <v>44651</v>
      </c>
      <c r="K57" s="2553"/>
      <c r="L57" s="1004">
        <v>101</v>
      </c>
      <c r="M57" s="1006" t="s">
        <v>1660</v>
      </c>
      <c r="N57" s="2551" t="s">
        <v>1661</v>
      </c>
      <c r="O57" s="2555">
        <v>44391</v>
      </c>
      <c r="P57" s="2547"/>
    </row>
    <row r="58" spans="7:16">
      <c r="G58" s="1008"/>
      <c r="H58" s="1009"/>
      <c r="I58" s="2566" t="s">
        <v>1662</v>
      </c>
      <c r="J58" s="2561"/>
      <c r="K58" s="2553"/>
      <c r="L58" s="1008"/>
      <c r="M58" s="1009"/>
      <c r="N58" s="2560" t="s">
        <v>1555</v>
      </c>
      <c r="O58" s="2561"/>
      <c r="P58" s="2547"/>
    </row>
    <row r="59" spans="7:16">
      <c r="G59" s="1004">
        <v>126</v>
      </c>
      <c r="H59" s="1006" t="s">
        <v>1663</v>
      </c>
      <c r="I59" s="2551" t="s">
        <v>2434</v>
      </c>
      <c r="J59" s="2555">
        <v>44651</v>
      </c>
      <c r="K59" s="2553"/>
      <c r="L59" s="1004">
        <v>106</v>
      </c>
      <c r="M59" s="1006" t="s">
        <v>2435</v>
      </c>
      <c r="N59" s="2581" t="s">
        <v>2436</v>
      </c>
      <c r="O59" s="2555">
        <v>43601</v>
      </c>
      <c r="P59" s="2547"/>
    </row>
    <row r="60" spans="7:16">
      <c r="G60" s="1008"/>
      <c r="H60" s="1009"/>
      <c r="I60" s="2566" t="s">
        <v>1664</v>
      </c>
      <c r="J60" s="2561"/>
      <c r="K60" s="2553"/>
      <c r="L60" s="1008"/>
      <c r="M60" s="1009"/>
      <c r="N60" s="2582" t="s">
        <v>2437</v>
      </c>
      <c r="O60" s="2561"/>
      <c r="P60" s="2547"/>
    </row>
    <row r="61" spans="7:16">
      <c r="G61" s="1004">
        <v>128</v>
      </c>
      <c r="H61" s="1006" t="s">
        <v>1665</v>
      </c>
      <c r="I61" s="2583" t="s">
        <v>1666</v>
      </c>
      <c r="J61" s="2555">
        <v>44651</v>
      </c>
      <c r="K61" s="2553"/>
      <c r="L61" s="1010">
        <v>108</v>
      </c>
      <c r="M61" s="1006" t="s">
        <v>2438</v>
      </c>
      <c r="N61" s="2554" t="s">
        <v>2407</v>
      </c>
      <c r="O61" s="2555">
        <v>43727</v>
      </c>
      <c r="P61" s="2547"/>
    </row>
    <row r="62" spans="7:16">
      <c r="G62" s="1008"/>
      <c r="H62" s="1009"/>
      <c r="I62" s="2584" t="s">
        <v>1669</v>
      </c>
      <c r="J62" s="2561"/>
      <c r="K62" s="2553"/>
      <c r="L62" s="1011"/>
      <c r="M62" s="1009"/>
      <c r="N62" s="2566" t="s">
        <v>1527</v>
      </c>
      <c r="O62" s="2561"/>
      <c r="P62" s="2547"/>
    </row>
    <row r="63" spans="7:16">
      <c r="G63" s="1004">
        <v>135</v>
      </c>
      <c r="H63" s="1006" t="s">
        <v>1671</v>
      </c>
      <c r="I63" s="2554" t="s">
        <v>1672</v>
      </c>
      <c r="J63" s="2555">
        <v>44651</v>
      </c>
      <c r="K63" s="2553"/>
      <c r="L63" s="1004">
        <v>112</v>
      </c>
      <c r="M63" s="1006" t="s">
        <v>1667</v>
      </c>
      <c r="N63" s="2551" t="s">
        <v>1668</v>
      </c>
      <c r="O63" s="2555">
        <v>43994</v>
      </c>
      <c r="P63" s="2547"/>
    </row>
    <row r="64" spans="7:16">
      <c r="G64" s="1008"/>
      <c r="H64" s="1009"/>
      <c r="I64" s="2560" t="s">
        <v>1673</v>
      </c>
      <c r="J64" s="2561"/>
      <c r="K64" s="2553"/>
      <c r="L64" s="1008"/>
      <c r="M64" s="1009"/>
      <c r="N64" s="2559" t="s">
        <v>1670</v>
      </c>
      <c r="O64" s="2561"/>
      <c r="P64" s="2547"/>
    </row>
    <row r="65" spans="1:16">
      <c r="G65" s="1004">
        <v>148</v>
      </c>
      <c r="H65" s="1006" t="s">
        <v>1674</v>
      </c>
      <c r="I65" s="2554" t="s">
        <v>1675</v>
      </c>
      <c r="J65" s="2555">
        <v>44651</v>
      </c>
      <c r="K65" s="2553"/>
      <c r="L65" s="1004">
        <v>126</v>
      </c>
      <c r="M65" s="1006" t="s">
        <v>1622</v>
      </c>
      <c r="N65" s="2551" t="s">
        <v>2422</v>
      </c>
      <c r="O65" s="2555">
        <v>43609</v>
      </c>
      <c r="P65" s="2547"/>
    </row>
    <row r="66" spans="1:16">
      <c r="G66" s="1008"/>
      <c r="H66" s="1009"/>
      <c r="I66" s="2560" t="s">
        <v>1678</v>
      </c>
      <c r="J66" s="2561"/>
      <c r="K66" s="2553"/>
      <c r="L66" s="1008"/>
      <c r="M66" s="1009"/>
      <c r="N66" s="2559" t="s">
        <v>1624</v>
      </c>
      <c r="O66" s="2561"/>
      <c r="P66" s="2547"/>
    </row>
    <row r="67" spans="1:16">
      <c r="G67" s="1004">
        <v>149</v>
      </c>
      <c r="H67" s="1006" t="s">
        <v>1680</v>
      </c>
      <c r="I67" s="2554" t="s">
        <v>1681</v>
      </c>
      <c r="J67" s="2555">
        <v>44651</v>
      </c>
      <c r="K67" s="2553"/>
      <c r="L67" s="1004">
        <v>128</v>
      </c>
      <c r="M67" s="1006" t="s">
        <v>1676</v>
      </c>
      <c r="N67" s="2551" t="s">
        <v>1677</v>
      </c>
      <c r="O67" s="2555">
        <v>43743</v>
      </c>
      <c r="P67" s="2547"/>
    </row>
    <row r="68" spans="1:16">
      <c r="G68" s="1008"/>
      <c r="H68" s="1009"/>
      <c r="I68" s="2559" t="s">
        <v>1683</v>
      </c>
      <c r="J68" s="2561"/>
      <c r="K68" s="2553"/>
      <c r="L68" s="1008"/>
      <c r="M68" s="1009"/>
      <c r="N68" s="2559" t="s">
        <v>1679</v>
      </c>
      <c r="O68" s="2561"/>
      <c r="P68" s="2547"/>
    </row>
    <row r="69" spans="1:16">
      <c r="G69" s="1004">
        <v>155</v>
      </c>
      <c r="H69" s="1006" t="s">
        <v>1684</v>
      </c>
      <c r="I69" s="2551" t="s">
        <v>1685</v>
      </c>
      <c r="J69" s="2555">
        <v>44651</v>
      </c>
      <c r="K69" s="2553"/>
      <c r="L69" s="1004">
        <v>133</v>
      </c>
      <c r="M69" s="1006" t="s">
        <v>1682</v>
      </c>
      <c r="N69" s="2554" t="s">
        <v>2439</v>
      </c>
      <c r="O69" s="2555">
        <v>43918</v>
      </c>
      <c r="P69" s="2547"/>
    </row>
    <row r="70" spans="1:16">
      <c r="G70" s="1008"/>
      <c r="H70" s="1009"/>
      <c r="I70" s="2566" t="s">
        <v>1687</v>
      </c>
      <c r="J70" s="2561"/>
      <c r="K70" s="2553"/>
      <c r="L70" s="1008"/>
      <c r="M70" s="1009"/>
      <c r="N70" s="2559" t="s">
        <v>1643</v>
      </c>
      <c r="O70" s="2561"/>
      <c r="P70" s="2547"/>
    </row>
    <row r="71" spans="1:16">
      <c r="G71" s="1002">
        <v>157</v>
      </c>
      <c r="H71" s="1003" t="s">
        <v>1688</v>
      </c>
      <c r="I71" s="2583" t="s">
        <v>1689</v>
      </c>
      <c r="J71" s="2555">
        <v>44651</v>
      </c>
      <c r="K71" s="2553"/>
      <c r="L71" s="1004">
        <v>146</v>
      </c>
      <c r="M71" s="1006" t="s">
        <v>1686</v>
      </c>
      <c r="N71" s="2551" t="s">
        <v>2425</v>
      </c>
      <c r="O71" s="2555">
        <v>43637</v>
      </c>
    </row>
    <row r="72" spans="1:16">
      <c r="G72" s="1002"/>
      <c r="H72" s="1003"/>
      <c r="I72" s="2560" t="s">
        <v>1691</v>
      </c>
      <c r="J72" s="2561"/>
      <c r="K72" s="2553"/>
      <c r="L72" s="1008"/>
      <c r="M72" s="1009"/>
      <c r="N72" s="2559" t="s">
        <v>1639</v>
      </c>
      <c r="O72" s="2561"/>
    </row>
    <row r="73" spans="1:16">
      <c r="G73" s="1002">
        <v>159</v>
      </c>
      <c r="H73" s="1003" t="s">
        <v>1692</v>
      </c>
      <c r="I73" s="2583" t="s">
        <v>2440</v>
      </c>
      <c r="J73" s="2555">
        <v>44651</v>
      </c>
      <c r="K73" s="2553"/>
      <c r="L73" s="1004">
        <v>148</v>
      </c>
      <c r="M73" s="1006" t="s">
        <v>1690</v>
      </c>
      <c r="N73" s="2583" t="s">
        <v>2441</v>
      </c>
      <c r="O73" s="2555">
        <v>43788</v>
      </c>
    </row>
    <row r="74" spans="1:16">
      <c r="G74" s="1002"/>
      <c r="H74" s="1003"/>
      <c r="I74" s="2560" t="s">
        <v>1695</v>
      </c>
      <c r="J74" s="2561"/>
      <c r="K74" s="2553"/>
      <c r="L74" s="1008"/>
      <c r="M74" s="1009"/>
      <c r="N74" s="2560" t="s">
        <v>2442</v>
      </c>
      <c r="O74" s="2561"/>
    </row>
    <row r="75" spans="1:16">
      <c r="G75" s="1004">
        <v>160</v>
      </c>
      <c r="H75" s="1006" t="s">
        <v>1510</v>
      </c>
      <c r="I75" s="2567" t="s">
        <v>2443</v>
      </c>
      <c r="J75" s="2552">
        <v>44651</v>
      </c>
      <c r="K75" s="2553"/>
      <c r="L75" s="1004">
        <v>150</v>
      </c>
      <c r="M75" s="1006" t="s">
        <v>1693</v>
      </c>
      <c r="N75" s="2585" t="s">
        <v>1694</v>
      </c>
      <c r="O75" s="2552">
        <v>43815</v>
      </c>
    </row>
    <row r="76" spans="1:16" ht="13.5" thickBot="1">
      <c r="G76" s="1005"/>
      <c r="H76" s="1007"/>
      <c r="I76" s="2586" t="s">
        <v>1512</v>
      </c>
      <c r="J76" s="2587"/>
      <c r="K76" s="2553"/>
      <c r="L76" s="1005"/>
      <c r="M76" s="1007"/>
      <c r="N76" s="2588" t="s">
        <v>1696</v>
      </c>
      <c r="O76" s="2587"/>
    </row>
    <row r="77" spans="1:16" s="751" customFormat="1">
      <c r="A77" s="1001"/>
      <c r="B77" s="1001"/>
      <c r="C77" s="1001"/>
      <c r="D77" s="1001"/>
      <c r="E77" s="1001"/>
      <c r="F77" s="1001"/>
    </row>
  </sheetData>
  <mergeCells count="221">
    <mergeCell ref="A77:F77"/>
    <mergeCell ref="G75:G76"/>
    <mergeCell ref="H75:H76"/>
    <mergeCell ref="J75:J76"/>
    <mergeCell ref="L75:L76"/>
    <mergeCell ref="M75:M76"/>
    <mergeCell ref="O75:O76"/>
    <mergeCell ref="G73:G74"/>
    <mergeCell ref="H73:H74"/>
    <mergeCell ref="J73:J74"/>
    <mergeCell ref="L73:L74"/>
    <mergeCell ref="M73:M74"/>
    <mergeCell ref="O73:O74"/>
    <mergeCell ref="G71:G72"/>
    <mergeCell ref="H71:H72"/>
    <mergeCell ref="J71:J72"/>
    <mergeCell ref="L71:L72"/>
    <mergeCell ref="M71:M72"/>
    <mergeCell ref="O71:O72"/>
    <mergeCell ref="G69:G70"/>
    <mergeCell ref="H69:H70"/>
    <mergeCell ref="J69:J70"/>
    <mergeCell ref="L69:L70"/>
    <mergeCell ref="M69:M70"/>
    <mergeCell ref="O69:O70"/>
    <mergeCell ref="G67:G68"/>
    <mergeCell ref="H67:H68"/>
    <mergeCell ref="J67:J68"/>
    <mergeCell ref="L67:L68"/>
    <mergeCell ref="M67:M68"/>
    <mergeCell ref="O67:O68"/>
    <mergeCell ref="G65:G66"/>
    <mergeCell ref="H65:H66"/>
    <mergeCell ref="J65:J66"/>
    <mergeCell ref="L65:L66"/>
    <mergeCell ref="M65:M66"/>
    <mergeCell ref="O65:O66"/>
    <mergeCell ref="G63:G64"/>
    <mergeCell ref="H63:H64"/>
    <mergeCell ref="J63:J64"/>
    <mergeCell ref="L63:L64"/>
    <mergeCell ref="M63:M64"/>
    <mergeCell ref="O63:O64"/>
    <mergeCell ref="G61:G62"/>
    <mergeCell ref="H61:H62"/>
    <mergeCell ref="J61:J62"/>
    <mergeCell ref="L61:L62"/>
    <mergeCell ref="M61:M62"/>
    <mergeCell ref="O61:O62"/>
    <mergeCell ref="G59:G60"/>
    <mergeCell ref="H59:H60"/>
    <mergeCell ref="J59:J60"/>
    <mergeCell ref="L59:L60"/>
    <mergeCell ref="M59:M60"/>
    <mergeCell ref="O59:O60"/>
    <mergeCell ref="G57:G58"/>
    <mergeCell ref="H57:H58"/>
    <mergeCell ref="J57:J58"/>
    <mergeCell ref="L57:L58"/>
    <mergeCell ref="M57:M58"/>
    <mergeCell ref="O57:O58"/>
    <mergeCell ref="G55:G56"/>
    <mergeCell ref="H55:H56"/>
    <mergeCell ref="J55:J56"/>
    <mergeCell ref="L55:L56"/>
    <mergeCell ref="M55:M56"/>
    <mergeCell ref="O55:O56"/>
    <mergeCell ref="G53:G54"/>
    <mergeCell ref="H53:H54"/>
    <mergeCell ref="J53:J54"/>
    <mergeCell ref="L53:L54"/>
    <mergeCell ref="M53:M54"/>
    <mergeCell ref="O53:O54"/>
    <mergeCell ref="G51:G52"/>
    <mergeCell ref="H51:H52"/>
    <mergeCell ref="J51:J52"/>
    <mergeCell ref="L51:L52"/>
    <mergeCell ref="M51:M52"/>
    <mergeCell ref="O51:O52"/>
    <mergeCell ref="G49:G50"/>
    <mergeCell ref="H49:H50"/>
    <mergeCell ref="J49:J50"/>
    <mergeCell ref="L49:L50"/>
    <mergeCell ref="M49:M50"/>
    <mergeCell ref="O49:O50"/>
    <mergeCell ref="G47:G48"/>
    <mergeCell ref="H47:H48"/>
    <mergeCell ref="J47:J48"/>
    <mergeCell ref="L47:L48"/>
    <mergeCell ref="M47:M48"/>
    <mergeCell ref="O47:O48"/>
    <mergeCell ref="G45:G46"/>
    <mergeCell ref="H45:H46"/>
    <mergeCell ref="J45:J46"/>
    <mergeCell ref="L45:L46"/>
    <mergeCell ref="M45:M46"/>
    <mergeCell ref="O45:O46"/>
    <mergeCell ref="G43:G44"/>
    <mergeCell ref="H43:H44"/>
    <mergeCell ref="J43:J44"/>
    <mergeCell ref="L43:L44"/>
    <mergeCell ref="M43:M44"/>
    <mergeCell ref="O43:O44"/>
    <mergeCell ref="G39:G40"/>
    <mergeCell ref="H39:H40"/>
    <mergeCell ref="J39:J40"/>
    <mergeCell ref="G41:G42"/>
    <mergeCell ref="H41:H42"/>
    <mergeCell ref="J41:J42"/>
    <mergeCell ref="G37:G38"/>
    <mergeCell ref="H37:H38"/>
    <mergeCell ref="J37:J38"/>
    <mergeCell ref="L37:L38"/>
    <mergeCell ref="M37:M38"/>
    <mergeCell ref="O37:O38"/>
    <mergeCell ref="G35:G36"/>
    <mergeCell ref="H35:H36"/>
    <mergeCell ref="J35:J36"/>
    <mergeCell ref="L35:L36"/>
    <mergeCell ref="M35:M36"/>
    <mergeCell ref="O35:O36"/>
    <mergeCell ref="G33:G34"/>
    <mergeCell ref="H33:H34"/>
    <mergeCell ref="J33:J34"/>
    <mergeCell ref="L33:L34"/>
    <mergeCell ref="M33:M34"/>
    <mergeCell ref="O33:O34"/>
    <mergeCell ref="G31:G32"/>
    <mergeCell ref="H31:H32"/>
    <mergeCell ref="J31:J32"/>
    <mergeCell ref="L31:L32"/>
    <mergeCell ref="M31:M32"/>
    <mergeCell ref="O31:O32"/>
    <mergeCell ref="G29:G30"/>
    <mergeCell ref="H29:H30"/>
    <mergeCell ref="J29:J30"/>
    <mergeCell ref="L29:L30"/>
    <mergeCell ref="M29:M30"/>
    <mergeCell ref="O29:O30"/>
    <mergeCell ref="G27:G28"/>
    <mergeCell ref="H27:H28"/>
    <mergeCell ref="J27:J28"/>
    <mergeCell ref="L27:L28"/>
    <mergeCell ref="M27:M28"/>
    <mergeCell ref="O27:O28"/>
    <mergeCell ref="G25:G26"/>
    <mergeCell ref="H25:H26"/>
    <mergeCell ref="J25:J26"/>
    <mergeCell ref="L25:L26"/>
    <mergeCell ref="M25:M26"/>
    <mergeCell ref="O25:O26"/>
    <mergeCell ref="G23:G24"/>
    <mergeCell ref="H23:H24"/>
    <mergeCell ref="J23:J24"/>
    <mergeCell ref="L23:L24"/>
    <mergeCell ref="M23:M24"/>
    <mergeCell ref="O23:O24"/>
    <mergeCell ref="G21:G22"/>
    <mergeCell ref="H21:H22"/>
    <mergeCell ref="J21:J22"/>
    <mergeCell ref="L21:L22"/>
    <mergeCell ref="M21:M22"/>
    <mergeCell ref="O21:O22"/>
    <mergeCell ref="O17:O18"/>
    <mergeCell ref="G19:G20"/>
    <mergeCell ref="H19:H20"/>
    <mergeCell ref="J19:J20"/>
    <mergeCell ref="L19:L20"/>
    <mergeCell ref="M19:M20"/>
    <mergeCell ref="O19:O20"/>
    <mergeCell ref="A17:A18"/>
    <mergeCell ref="G17:G18"/>
    <mergeCell ref="H17:H18"/>
    <mergeCell ref="J17:J18"/>
    <mergeCell ref="L17:L18"/>
    <mergeCell ref="M17:M18"/>
    <mergeCell ref="G15:G16"/>
    <mergeCell ref="H15:H16"/>
    <mergeCell ref="J15:J16"/>
    <mergeCell ref="L15:L16"/>
    <mergeCell ref="M15:M16"/>
    <mergeCell ref="O15:O16"/>
    <mergeCell ref="G13:G14"/>
    <mergeCell ref="H13:H14"/>
    <mergeCell ref="J13:J14"/>
    <mergeCell ref="L13:L14"/>
    <mergeCell ref="M13:M14"/>
    <mergeCell ref="O13:O14"/>
    <mergeCell ref="G11:G12"/>
    <mergeCell ref="H11:H12"/>
    <mergeCell ref="J11:J12"/>
    <mergeCell ref="L11:L12"/>
    <mergeCell ref="M11:M12"/>
    <mergeCell ref="O11:O12"/>
    <mergeCell ref="O7:O8"/>
    <mergeCell ref="G9:G10"/>
    <mergeCell ref="H9:H10"/>
    <mergeCell ref="J9:J10"/>
    <mergeCell ref="L9:L10"/>
    <mergeCell ref="M9:M10"/>
    <mergeCell ref="O9:O10"/>
    <mergeCell ref="H5:H6"/>
    <mergeCell ref="J5:J6"/>
    <mergeCell ref="L5:L6"/>
    <mergeCell ref="M5:M6"/>
    <mergeCell ref="O5:O6"/>
    <mergeCell ref="G7:G8"/>
    <mergeCell ref="H7:H8"/>
    <mergeCell ref="J7:J8"/>
    <mergeCell ref="L7:L8"/>
    <mergeCell ref="M7:M8"/>
    <mergeCell ref="G1:J1"/>
    <mergeCell ref="L1:O1"/>
    <mergeCell ref="A3:E5"/>
    <mergeCell ref="G3:G4"/>
    <mergeCell ref="H3:H4"/>
    <mergeCell ref="J3:J4"/>
    <mergeCell ref="L3:L4"/>
    <mergeCell ref="M3:M4"/>
    <mergeCell ref="O3:O4"/>
    <mergeCell ref="G5:G6"/>
  </mergeCells>
  <phoneticPr fontId="6"/>
  <pageMargins left="0.70866141732283472" right="0.15748031496062992" top="0.39370078740157483" bottom="0.39370078740157483" header="0.39370078740157483" footer="0.23622047244094491"/>
  <pageSetup paperSize="9" scale="82" firstPageNumber="107" fitToWidth="0" orientation="portrait" useFirstPageNumber="1" r:id="rId1"/>
  <headerFooter scaleWithDoc="0"/>
  <colBreaks count="2" manualBreakCount="2">
    <brk id="6" max="1048575" man="1"/>
    <brk id="10" max="73"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AB69A4-6DCB-47B4-9267-B2A1A8F68BD3}">
  <sheetPr>
    <pageSetUpPr fitToPage="1"/>
  </sheetPr>
  <dimension ref="A1:G58"/>
  <sheetViews>
    <sheetView zoomScaleNormal="100" zoomScaleSheetLayoutView="100" workbookViewId="0"/>
  </sheetViews>
  <sheetFormatPr defaultColWidth="9" defaultRowHeight="13"/>
  <cols>
    <col min="1" max="1" width="4.7265625" style="2592" customWidth="1"/>
    <col min="2" max="2" width="25.08984375" style="2591" customWidth="1"/>
    <col min="3" max="3" width="15" style="2592" bestFit="1" customWidth="1"/>
    <col min="4" max="4" width="9" style="2591"/>
    <col min="5" max="5" width="18.90625" style="2592" customWidth="1"/>
    <col min="6" max="6" width="13.7265625" style="2592" customWidth="1"/>
    <col min="7" max="7" width="26.453125" style="2592" customWidth="1"/>
    <col min="8" max="16384" width="9" style="2592"/>
  </cols>
  <sheetData>
    <row r="1" spans="1:7" ht="21">
      <c r="A1" s="2590" t="s">
        <v>1697</v>
      </c>
      <c r="G1" s="2592" t="s">
        <v>1698</v>
      </c>
    </row>
    <row r="2" spans="1:7" s="2596" customFormat="1" ht="24" customHeight="1" thickBot="1">
      <c r="A2" s="2593" t="s">
        <v>496</v>
      </c>
      <c r="B2" s="2594" t="s">
        <v>1699</v>
      </c>
      <c r="C2" s="2593" t="s">
        <v>1700</v>
      </c>
      <c r="D2" s="2594" t="s">
        <v>1701</v>
      </c>
      <c r="E2" s="2593" t="s">
        <v>1702</v>
      </c>
      <c r="F2" s="2595" t="s">
        <v>1703</v>
      </c>
      <c r="G2" s="2595" t="s">
        <v>1704</v>
      </c>
    </row>
    <row r="3" spans="1:7" ht="18" customHeight="1">
      <c r="A3" s="2597">
        <v>1</v>
      </c>
      <c r="B3" s="2598" t="s">
        <v>1705</v>
      </c>
      <c r="C3" s="2599" t="s">
        <v>1706</v>
      </c>
      <c r="D3" s="2600" t="s">
        <v>1707</v>
      </c>
      <c r="E3" s="2601" t="s">
        <v>1708</v>
      </c>
      <c r="F3" s="2602" t="s">
        <v>1708</v>
      </c>
      <c r="G3" s="2603"/>
    </row>
    <row r="4" spans="1:7" ht="18" customHeight="1">
      <c r="A4" s="2604">
        <v>2</v>
      </c>
      <c r="B4" s="2605" t="s">
        <v>1709</v>
      </c>
      <c r="C4" s="2606" t="s">
        <v>1710</v>
      </c>
      <c r="D4" s="2607"/>
      <c r="E4" s="2608"/>
      <c r="F4" s="2609"/>
      <c r="G4" s="2610"/>
    </row>
    <row r="5" spans="1:7" ht="18" customHeight="1">
      <c r="A5" s="2604">
        <v>9</v>
      </c>
      <c r="B5" s="2605" t="s">
        <v>1711</v>
      </c>
      <c r="C5" s="2606" t="s">
        <v>1712</v>
      </c>
      <c r="D5" s="2611" t="s">
        <v>1713</v>
      </c>
      <c r="E5" s="2612" t="s">
        <v>1714</v>
      </c>
      <c r="F5" s="2609"/>
      <c r="G5" s="2610"/>
    </row>
    <row r="6" spans="1:7" ht="18" customHeight="1">
      <c r="A6" s="2604">
        <v>11</v>
      </c>
      <c r="B6" s="2605" t="s">
        <v>1715</v>
      </c>
      <c r="C6" s="2606" t="s">
        <v>1716</v>
      </c>
      <c r="D6" s="2611"/>
      <c r="E6" s="2608"/>
      <c r="F6" s="2609"/>
      <c r="G6" s="2610"/>
    </row>
    <row r="7" spans="1:7" ht="18" customHeight="1">
      <c r="A7" s="2604">
        <v>38</v>
      </c>
      <c r="B7" s="2605" t="s">
        <v>1717</v>
      </c>
      <c r="C7" s="2606" t="s">
        <v>1718</v>
      </c>
      <c r="D7" s="2613" t="s">
        <v>1707</v>
      </c>
      <c r="E7" s="2614" t="s">
        <v>1719</v>
      </c>
      <c r="F7" s="2609"/>
      <c r="G7" s="2610"/>
    </row>
    <row r="8" spans="1:7" ht="18" customHeight="1">
      <c r="A8" s="2604">
        <v>46</v>
      </c>
      <c r="B8" s="2605" t="s">
        <v>1720</v>
      </c>
      <c r="C8" s="2606" t="s">
        <v>1721</v>
      </c>
      <c r="D8" s="2607"/>
      <c r="E8" s="2615"/>
      <c r="F8" s="2609"/>
      <c r="G8" s="2610"/>
    </row>
    <row r="9" spans="1:7" ht="18" customHeight="1">
      <c r="A9" s="2604">
        <v>47</v>
      </c>
      <c r="B9" s="2605" t="s">
        <v>1722</v>
      </c>
      <c r="C9" s="2606" t="s">
        <v>1723</v>
      </c>
      <c r="D9" s="2607"/>
      <c r="E9" s="2615"/>
      <c r="F9" s="2609"/>
      <c r="G9" s="2610"/>
    </row>
    <row r="10" spans="1:7" ht="18" customHeight="1">
      <c r="A10" s="2604">
        <v>48</v>
      </c>
      <c r="B10" s="2605" t="s">
        <v>1724</v>
      </c>
      <c r="C10" s="2606" t="s">
        <v>1725</v>
      </c>
      <c r="D10" s="2607"/>
      <c r="E10" s="2615"/>
      <c r="F10" s="2609"/>
      <c r="G10" s="2610"/>
    </row>
    <row r="11" spans="1:7" ht="18" customHeight="1">
      <c r="A11" s="2604">
        <v>49</v>
      </c>
      <c r="B11" s="2605" t="s">
        <v>1726</v>
      </c>
      <c r="C11" s="2606" t="s">
        <v>1725</v>
      </c>
      <c r="D11" s="2607"/>
      <c r="E11" s="2615"/>
      <c r="F11" s="2609"/>
      <c r="G11" s="2610"/>
    </row>
    <row r="12" spans="1:7" ht="18" customHeight="1">
      <c r="A12" s="2604">
        <v>50</v>
      </c>
      <c r="B12" s="2605" t="s">
        <v>1727</v>
      </c>
      <c r="C12" s="2606" t="s">
        <v>1728</v>
      </c>
      <c r="D12" s="2607"/>
      <c r="E12" s="2615"/>
      <c r="F12" s="2609"/>
      <c r="G12" s="2610"/>
    </row>
    <row r="13" spans="1:7" ht="18" customHeight="1" thickBot="1">
      <c r="A13" s="2616">
        <v>51</v>
      </c>
      <c r="B13" s="2617" t="s">
        <v>1729</v>
      </c>
      <c r="C13" s="2618" t="s">
        <v>1730</v>
      </c>
      <c r="D13" s="2619"/>
      <c r="E13" s="2620"/>
      <c r="F13" s="2609"/>
      <c r="G13" s="2610"/>
    </row>
    <row r="14" spans="1:7" ht="18" customHeight="1">
      <c r="A14" s="2621">
        <v>10</v>
      </c>
      <c r="B14" s="2622" t="s">
        <v>1731</v>
      </c>
      <c r="C14" s="2623" t="s">
        <v>1732</v>
      </c>
      <c r="D14" s="2600" t="s">
        <v>1733</v>
      </c>
      <c r="E14" s="2601" t="s">
        <v>1708</v>
      </c>
      <c r="F14" s="2609"/>
      <c r="G14" s="2610"/>
    </row>
    <row r="15" spans="1:7" ht="18" customHeight="1">
      <c r="A15" s="2604">
        <v>21</v>
      </c>
      <c r="B15" s="2605" t="s">
        <v>1734</v>
      </c>
      <c r="C15" s="2606" t="s">
        <v>1735</v>
      </c>
      <c r="D15" s="2607"/>
      <c r="E15" s="2624"/>
      <c r="F15" s="2609"/>
      <c r="G15" s="2610"/>
    </row>
    <row r="16" spans="1:7" ht="18" customHeight="1">
      <c r="A16" s="2604">
        <v>22</v>
      </c>
      <c r="B16" s="2605" t="s">
        <v>1736</v>
      </c>
      <c r="C16" s="2606" t="s">
        <v>1737</v>
      </c>
      <c r="D16" s="2607"/>
      <c r="E16" s="2624"/>
      <c r="F16" s="2609"/>
      <c r="G16" s="2610"/>
    </row>
    <row r="17" spans="1:7" ht="18" customHeight="1">
      <c r="A17" s="2604">
        <v>23</v>
      </c>
      <c r="B17" s="2605" t="s">
        <v>1738</v>
      </c>
      <c r="C17" s="2606" t="s">
        <v>1739</v>
      </c>
      <c r="D17" s="2607"/>
      <c r="E17" s="2624"/>
      <c r="F17" s="2609"/>
      <c r="G17" s="2610"/>
    </row>
    <row r="18" spans="1:7" ht="18" customHeight="1">
      <c r="A18" s="2604">
        <v>24</v>
      </c>
      <c r="B18" s="2605" t="s">
        <v>1740</v>
      </c>
      <c r="C18" s="2606" t="s">
        <v>1741</v>
      </c>
      <c r="D18" s="2607"/>
      <c r="E18" s="2624"/>
      <c r="F18" s="2609"/>
      <c r="G18" s="2610"/>
    </row>
    <row r="19" spans="1:7" ht="18" customHeight="1">
      <c r="A19" s="2604">
        <v>25</v>
      </c>
      <c r="B19" s="2605" t="s">
        <v>1742</v>
      </c>
      <c r="C19" s="2606" t="s">
        <v>1743</v>
      </c>
      <c r="D19" s="2607"/>
      <c r="E19" s="2624"/>
      <c r="F19" s="2609"/>
      <c r="G19" s="2610"/>
    </row>
    <row r="20" spans="1:7" ht="48.75" customHeight="1">
      <c r="A20" s="2604">
        <v>27</v>
      </c>
      <c r="B20" s="2605" t="s">
        <v>1744</v>
      </c>
      <c r="C20" s="2606" t="s">
        <v>1743</v>
      </c>
      <c r="D20" s="2607"/>
      <c r="E20" s="2624"/>
      <c r="F20" s="2609"/>
      <c r="G20" s="2610"/>
    </row>
    <row r="21" spans="1:7" ht="18" customHeight="1">
      <c r="A21" s="2604">
        <v>28</v>
      </c>
      <c r="B21" s="2605" t="s">
        <v>1745</v>
      </c>
      <c r="C21" s="2606" t="s">
        <v>1741</v>
      </c>
      <c r="D21" s="2607"/>
      <c r="E21" s="2624"/>
      <c r="F21" s="2609"/>
      <c r="G21" s="2610"/>
    </row>
    <row r="22" spans="1:7" ht="18" customHeight="1">
      <c r="A22" s="2604">
        <v>29</v>
      </c>
      <c r="B22" s="2605" t="s">
        <v>1746</v>
      </c>
      <c r="C22" s="2606" t="s">
        <v>1741</v>
      </c>
      <c r="D22" s="2607"/>
      <c r="E22" s="2624"/>
      <c r="F22" s="2609"/>
      <c r="G22" s="2610"/>
    </row>
    <row r="23" spans="1:7" ht="18" customHeight="1">
      <c r="A23" s="2604">
        <v>30</v>
      </c>
      <c r="B23" s="2605" t="s">
        <v>1747</v>
      </c>
      <c r="C23" s="2606" t="s">
        <v>1748</v>
      </c>
      <c r="D23" s="2607"/>
      <c r="E23" s="2624"/>
      <c r="F23" s="2609"/>
      <c r="G23" s="2610"/>
    </row>
    <row r="24" spans="1:7" ht="18" customHeight="1" thickBot="1">
      <c r="A24" s="2616">
        <v>31</v>
      </c>
      <c r="B24" s="2617" t="s">
        <v>1749</v>
      </c>
      <c r="C24" s="2618" t="s">
        <v>1750</v>
      </c>
      <c r="D24" s="2619"/>
      <c r="E24" s="2625"/>
      <c r="F24" s="2626"/>
      <c r="G24" s="2627"/>
    </row>
    <row r="25" spans="1:7" ht="18" customHeight="1">
      <c r="A25" s="2628">
        <v>13</v>
      </c>
      <c r="B25" s="2629" t="s">
        <v>1751</v>
      </c>
      <c r="C25" s="2630" t="s">
        <v>1752</v>
      </c>
      <c r="D25" s="2607" t="s">
        <v>1733</v>
      </c>
      <c r="E25" s="2631" t="s">
        <v>1714</v>
      </c>
      <c r="F25" s="2632" t="s">
        <v>1753</v>
      </c>
      <c r="G25" s="2633" t="s">
        <v>1754</v>
      </c>
    </row>
    <row r="26" spans="1:7" ht="25.5" customHeight="1">
      <c r="A26" s="2634">
        <v>26</v>
      </c>
      <c r="B26" s="2605" t="s">
        <v>1755</v>
      </c>
      <c r="C26" s="2606" t="s">
        <v>1732</v>
      </c>
      <c r="D26" s="2607"/>
      <c r="E26" s="2635" t="s">
        <v>1708</v>
      </c>
      <c r="F26" s="2632"/>
      <c r="G26" s="2633" t="s">
        <v>1756</v>
      </c>
    </row>
    <row r="27" spans="1:7" ht="18" customHeight="1">
      <c r="A27" s="2634">
        <v>3</v>
      </c>
      <c r="B27" s="2605" t="s">
        <v>1757</v>
      </c>
      <c r="C27" s="2606" t="s">
        <v>1758</v>
      </c>
      <c r="D27" s="2607"/>
      <c r="E27" s="2636" t="s">
        <v>1759</v>
      </c>
      <c r="F27" s="2632"/>
      <c r="G27" s="2603"/>
    </row>
    <row r="28" spans="1:7" ht="18" customHeight="1">
      <c r="A28" s="2634">
        <v>4</v>
      </c>
      <c r="B28" s="2605" t="s">
        <v>1760</v>
      </c>
      <c r="C28" s="2606" t="s">
        <v>1761</v>
      </c>
      <c r="D28" s="2607"/>
      <c r="E28" s="2632"/>
      <c r="F28" s="2632"/>
      <c r="G28" s="2610"/>
    </row>
    <row r="29" spans="1:7" ht="18" customHeight="1">
      <c r="A29" s="2634">
        <v>5</v>
      </c>
      <c r="B29" s="2605" t="s">
        <v>1762</v>
      </c>
      <c r="C29" s="2606" t="s">
        <v>1732</v>
      </c>
      <c r="D29" s="2607"/>
      <c r="E29" s="2632"/>
      <c r="F29" s="2632"/>
      <c r="G29" s="2610"/>
    </row>
    <row r="30" spans="1:7" ht="18" customHeight="1">
      <c r="A30" s="2634">
        <v>7</v>
      </c>
      <c r="B30" s="2605" t="s">
        <v>1763</v>
      </c>
      <c r="C30" s="2606" t="s">
        <v>1732</v>
      </c>
      <c r="D30" s="2607"/>
      <c r="E30" s="2632"/>
      <c r="F30" s="2632"/>
      <c r="G30" s="2610"/>
    </row>
    <row r="31" spans="1:7" ht="18" customHeight="1">
      <c r="A31" s="2634">
        <v>12</v>
      </c>
      <c r="B31" s="2605" t="s">
        <v>1764</v>
      </c>
      <c r="C31" s="2606" t="s">
        <v>1765</v>
      </c>
      <c r="D31" s="2607"/>
      <c r="E31" s="2632"/>
      <c r="F31" s="2632"/>
      <c r="G31" s="2610"/>
    </row>
    <row r="32" spans="1:7" ht="18" customHeight="1">
      <c r="A32" s="2634">
        <v>36</v>
      </c>
      <c r="B32" s="2605" t="s">
        <v>1766</v>
      </c>
      <c r="C32" s="2606" t="s">
        <v>1718</v>
      </c>
      <c r="D32" s="2607"/>
      <c r="E32" s="2632"/>
      <c r="F32" s="2632"/>
      <c r="G32" s="2610"/>
    </row>
    <row r="33" spans="1:7" ht="18" customHeight="1">
      <c r="A33" s="2634">
        <v>37</v>
      </c>
      <c r="B33" s="2605" t="s">
        <v>1767</v>
      </c>
      <c r="C33" s="2606" t="s">
        <v>1768</v>
      </c>
      <c r="D33" s="2607"/>
      <c r="E33" s="2632"/>
      <c r="F33" s="2632"/>
      <c r="G33" s="2610"/>
    </row>
    <row r="34" spans="1:7" ht="18" customHeight="1">
      <c r="A34" s="2634">
        <v>39</v>
      </c>
      <c r="B34" s="2605" t="s">
        <v>1769</v>
      </c>
      <c r="C34" s="2606" t="s">
        <v>1770</v>
      </c>
      <c r="D34" s="2607"/>
      <c r="E34" s="2632"/>
      <c r="F34" s="2632"/>
      <c r="G34" s="2610"/>
    </row>
    <row r="35" spans="1:7" ht="18" customHeight="1">
      <c r="A35" s="2634">
        <v>40</v>
      </c>
      <c r="B35" s="2605" t="s">
        <v>1771</v>
      </c>
      <c r="C35" s="2606" t="s">
        <v>1772</v>
      </c>
      <c r="D35" s="2607"/>
      <c r="E35" s="2632"/>
      <c r="F35" s="2632"/>
      <c r="G35" s="2610"/>
    </row>
    <row r="36" spans="1:7" ht="18" customHeight="1">
      <c r="A36" s="2634">
        <v>41</v>
      </c>
      <c r="B36" s="2605" t="s">
        <v>1773</v>
      </c>
      <c r="C36" s="2606" t="s">
        <v>1774</v>
      </c>
      <c r="D36" s="2607"/>
      <c r="E36" s="2632"/>
      <c r="F36" s="2632"/>
      <c r="G36" s="2610"/>
    </row>
    <row r="37" spans="1:7" ht="18" customHeight="1">
      <c r="A37" s="2634">
        <v>44</v>
      </c>
      <c r="B37" s="2605" t="s">
        <v>1775</v>
      </c>
      <c r="C37" s="2606" t="s">
        <v>1737</v>
      </c>
      <c r="D37" s="2607"/>
      <c r="E37" s="2632"/>
      <c r="F37" s="2632"/>
      <c r="G37" s="2610"/>
    </row>
    <row r="38" spans="1:7" ht="18" customHeight="1">
      <c r="A38" s="2634">
        <v>45</v>
      </c>
      <c r="B38" s="2605" t="s">
        <v>1776</v>
      </c>
      <c r="C38" s="2606" t="s">
        <v>1777</v>
      </c>
      <c r="D38" s="2607"/>
      <c r="E38" s="2632"/>
      <c r="F38" s="2632"/>
      <c r="G38" s="2627"/>
    </row>
    <row r="39" spans="1:7" ht="18" customHeight="1">
      <c r="A39" s="2634">
        <v>6</v>
      </c>
      <c r="B39" s="2605" t="s">
        <v>1778</v>
      </c>
      <c r="C39" s="2606" t="s">
        <v>1732</v>
      </c>
      <c r="D39" s="2607"/>
      <c r="E39" s="2632"/>
      <c r="F39" s="2632"/>
      <c r="G39" s="2636" t="s">
        <v>1779</v>
      </c>
    </row>
    <row r="40" spans="1:7" ht="18" customHeight="1">
      <c r="A40" s="2634">
        <v>8</v>
      </c>
      <c r="B40" s="2605" t="s">
        <v>1780</v>
      </c>
      <c r="C40" s="2606" t="s">
        <v>1737</v>
      </c>
      <c r="D40" s="2607"/>
      <c r="E40" s="2632"/>
      <c r="F40" s="2632"/>
      <c r="G40" s="2632"/>
    </row>
    <row r="41" spans="1:7" ht="18" customHeight="1">
      <c r="A41" s="2634">
        <v>32</v>
      </c>
      <c r="B41" s="2605" t="s">
        <v>1781</v>
      </c>
      <c r="C41" s="2606" t="s">
        <v>1752</v>
      </c>
      <c r="D41" s="2607"/>
      <c r="E41" s="2632"/>
      <c r="F41" s="2632"/>
      <c r="G41" s="2632"/>
    </row>
    <row r="42" spans="1:7" ht="18" customHeight="1">
      <c r="A42" s="2634">
        <v>33</v>
      </c>
      <c r="B42" s="2605" t="s">
        <v>1782</v>
      </c>
      <c r="C42" s="2606" t="s">
        <v>1774</v>
      </c>
      <c r="D42" s="2607"/>
      <c r="E42" s="2632"/>
      <c r="F42" s="2632"/>
      <c r="G42" s="2632"/>
    </row>
    <row r="43" spans="1:7" ht="18" customHeight="1">
      <c r="A43" s="2634">
        <v>34</v>
      </c>
      <c r="B43" s="2605" t="s">
        <v>1783</v>
      </c>
      <c r="C43" s="2606" t="s">
        <v>1784</v>
      </c>
      <c r="D43" s="2607"/>
      <c r="E43" s="2632"/>
      <c r="F43" s="2632"/>
      <c r="G43" s="2632"/>
    </row>
    <row r="44" spans="1:7" ht="18" customHeight="1">
      <c r="A44" s="2634">
        <v>35</v>
      </c>
      <c r="B44" s="2605" t="s">
        <v>1785</v>
      </c>
      <c r="C44" s="2606" t="s">
        <v>1752</v>
      </c>
      <c r="D44" s="2607"/>
      <c r="E44" s="2632"/>
      <c r="F44" s="2632"/>
      <c r="G44" s="2637"/>
    </row>
    <row r="45" spans="1:7" ht="18" customHeight="1">
      <c r="A45" s="2634">
        <v>14</v>
      </c>
      <c r="B45" s="2605" t="s">
        <v>1786</v>
      </c>
      <c r="C45" s="2606" t="s">
        <v>1787</v>
      </c>
      <c r="D45" s="2607"/>
      <c r="E45" s="2632"/>
      <c r="F45" s="2632"/>
      <c r="G45" s="2636" t="s">
        <v>1788</v>
      </c>
    </row>
    <row r="46" spans="1:7" ht="18" customHeight="1">
      <c r="A46" s="2634">
        <v>15</v>
      </c>
      <c r="B46" s="2605" t="s">
        <v>1789</v>
      </c>
      <c r="C46" s="2606" t="s">
        <v>1768</v>
      </c>
      <c r="D46" s="2607"/>
      <c r="E46" s="2632"/>
      <c r="F46" s="2632"/>
      <c r="G46" s="2632"/>
    </row>
    <row r="47" spans="1:7" ht="24.75" customHeight="1">
      <c r="A47" s="2634">
        <v>16</v>
      </c>
      <c r="B47" s="2605" t="s">
        <v>1790</v>
      </c>
      <c r="C47" s="2606" t="s">
        <v>1712</v>
      </c>
      <c r="D47" s="2607"/>
      <c r="E47" s="2632"/>
      <c r="F47" s="2632"/>
      <c r="G47" s="2632"/>
    </row>
    <row r="48" spans="1:7" ht="18" customHeight="1">
      <c r="A48" s="2634">
        <v>17</v>
      </c>
      <c r="B48" s="2605" t="s">
        <v>1791</v>
      </c>
      <c r="C48" s="2606" t="s">
        <v>1737</v>
      </c>
      <c r="D48" s="2607"/>
      <c r="E48" s="2632"/>
      <c r="F48" s="2632"/>
      <c r="G48" s="2632"/>
    </row>
    <row r="49" spans="1:7" ht="18" customHeight="1">
      <c r="A49" s="2634">
        <v>18</v>
      </c>
      <c r="B49" s="2605" t="s">
        <v>1792</v>
      </c>
      <c r="C49" s="2606" t="s">
        <v>1732</v>
      </c>
      <c r="D49" s="2607"/>
      <c r="E49" s="2632"/>
      <c r="F49" s="2632"/>
      <c r="G49" s="2632"/>
    </row>
    <row r="50" spans="1:7" ht="18" customHeight="1">
      <c r="A50" s="2634">
        <v>19</v>
      </c>
      <c r="B50" s="2605" t="s">
        <v>1793</v>
      </c>
      <c r="C50" s="2606" t="s">
        <v>1732</v>
      </c>
      <c r="D50" s="2607"/>
      <c r="E50" s="2632"/>
      <c r="F50" s="2632"/>
      <c r="G50" s="2632"/>
    </row>
    <row r="51" spans="1:7" ht="18" customHeight="1">
      <c r="A51" s="2634">
        <v>20</v>
      </c>
      <c r="B51" s="2605" t="s">
        <v>1794</v>
      </c>
      <c r="C51" s="2606" t="s">
        <v>1732</v>
      </c>
      <c r="D51" s="2638"/>
      <c r="E51" s="2637"/>
      <c r="F51" s="2632"/>
      <c r="G51" s="2637"/>
    </row>
    <row r="52" spans="1:7" ht="45" customHeight="1">
      <c r="A52" s="2634">
        <v>42</v>
      </c>
      <c r="B52" s="2605" t="s">
        <v>1795</v>
      </c>
      <c r="C52" s="2606" t="s">
        <v>1796</v>
      </c>
      <c r="D52" s="2613" t="s">
        <v>1707</v>
      </c>
      <c r="E52" s="2636" t="s">
        <v>1797</v>
      </c>
      <c r="F52" s="2632"/>
      <c r="G52" s="2636" t="s">
        <v>1798</v>
      </c>
    </row>
    <row r="53" spans="1:7" ht="45" customHeight="1">
      <c r="A53" s="2634">
        <v>43</v>
      </c>
      <c r="B53" s="2605" t="s">
        <v>1799</v>
      </c>
      <c r="C53" s="2606" t="s">
        <v>1796</v>
      </c>
      <c r="D53" s="2638"/>
      <c r="E53" s="2637"/>
      <c r="F53" s="2637"/>
      <c r="G53" s="2637"/>
    </row>
    <row r="54" spans="1:7" ht="8.25" customHeight="1"/>
    <row r="55" spans="1:7">
      <c r="A55" s="2592" t="s">
        <v>1800</v>
      </c>
      <c r="B55" s="2639" t="s">
        <v>1801</v>
      </c>
    </row>
    <row r="56" spans="1:7">
      <c r="A56" s="2592" t="s">
        <v>1802</v>
      </c>
      <c r="B56" s="2639" t="s">
        <v>1803</v>
      </c>
    </row>
    <row r="57" spans="1:7">
      <c r="A57" s="2592" t="s">
        <v>1804</v>
      </c>
      <c r="B57" s="2639" t="s">
        <v>1805</v>
      </c>
    </row>
    <row r="58" spans="1:7" ht="13.5" customHeight="1">
      <c r="B58" s="2639"/>
      <c r="C58" s="2591"/>
      <c r="E58" s="2591"/>
      <c r="F58" s="2591"/>
      <c r="G58" s="2591"/>
    </row>
  </sheetData>
  <mergeCells count="19">
    <mergeCell ref="D25:D51"/>
    <mergeCell ref="F25:F53"/>
    <mergeCell ref="E27:E51"/>
    <mergeCell ref="G27:G38"/>
    <mergeCell ref="G39:G44"/>
    <mergeCell ref="G45:G51"/>
    <mergeCell ref="D52:D53"/>
    <mergeCell ref="E52:E53"/>
    <mergeCell ref="G52:G53"/>
    <mergeCell ref="D3:D4"/>
    <mergeCell ref="E3:E4"/>
    <mergeCell ref="F3:F24"/>
    <mergeCell ref="G3:G24"/>
    <mergeCell ref="D5:D6"/>
    <mergeCell ref="E5:E6"/>
    <mergeCell ref="D7:D13"/>
    <mergeCell ref="E7:E13"/>
    <mergeCell ref="D14:D24"/>
    <mergeCell ref="E14:E24"/>
  </mergeCells>
  <phoneticPr fontId="6"/>
  <printOptions horizontalCentered="1"/>
  <pageMargins left="0.39370078740157483" right="0.19685039370078741" top="0.59055118110236227" bottom="0.2" header="0.51181102362204722" footer="0.11811023622047245"/>
  <pageSetup paperSize="9" scale="74"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E1C526-1533-4ECA-AECD-36DA04ADD349}">
  <dimension ref="A1:J56"/>
  <sheetViews>
    <sheetView view="pageBreakPreview" zoomScaleNormal="100" zoomScaleSheetLayoutView="100" workbookViewId="0">
      <pane xSplit="1" ySplit="7" topLeftCell="B8" activePane="bottomRight" state="frozen"/>
      <selection pane="topRight" activeCell="B1" sqref="B1"/>
      <selection pane="bottomLeft" activeCell="A6" sqref="A6"/>
      <selection pane="bottomRight"/>
    </sheetView>
  </sheetViews>
  <sheetFormatPr defaultColWidth="9" defaultRowHeight="13"/>
  <cols>
    <col min="1" max="1" width="7.08984375" style="754" customWidth="1"/>
    <col min="2" max="2" width="13.6328125" style="753" customWidth="1"/>
    <col min="3" max="3" width="35.6328125" style="753" customWidth="1"/>
    <col min="4" max="4" width="6.6328125" style="813" customWidth="1"/>
    <col min="5" max="5" width="10.453125" style="754" hidden="1" customWidth="1"/>
    <col min="6" max="6" width="2.6328125" style="754" customWidth="1"/>
    <col min="7" max="7" width="3.6328125" style="813" customWidth="1"/>
    <col min="8" max="8" width="9" style="2640" hidden="1" customWidth="1"/>
    <col min="9" max="9" width="3.90625" style="2640" customWidth="1"/>
    <col min="10" max="16384" width="9" style="2640"/>
  </cols>
  <sheetData>
    <row r="1" spans="1:10" ht="22.5" customHeight="1">
      <c r="A1" s="752" t="s">
        <v>2444</v>
      </c>
      <c r="E1" s="813"/>
      <c r="F1" s="813"/>
    </row>
    <row r="2" spans="1:10" ht="14.5" customHeight="1">
      <c r="A2" s="1021" t="s">
        <v>2445</v>
      </c>
      <c r="B2" s="1022"/>
      <c r="C2" s="1022"/>
      <c r="D2" s="1022"/>
      <c r="E2" s="1022"/>
      <c r="F2" s="1022"/>
      <c r="G2" s="1022"/>
      <c r="H2" s="1022"/>
      <c r="I2" s="1022"/>
      <c r="J2" s="1022"/>
    </row>
    <row r="3" spans="1:10" ht="20.25" customHeight="1">
      <c r="A3" s="1022"/>
      <c r="B3" s="1022"/>
      <c r="C3" s="1022"/>
      <c r="D3" s="1022"/>
      <c r="E3" s="1022"/>
      <c r="F3" s="1022"/>
      <c r="G3" s="1022"/>
      <c r="H3" s="1022"/>
      <c r="I3" s="1022"/>
      <c r="J3" s="1022"/>
    </row>
    <row r="4" spans="1:10" ht="20.25" customHeight="1">
      <c r="A4" s="1023" t="s">
        <v>1806</v>
      </c>
      <c r="B4" s="1023"/>
      <c r="C4" s="1023"/>
      <c r="D4" s="1023"/>
      <c r="E4" s="1023"/>
      <c r="F4" s="1023"/>
      <c r="G4" s="1023"/>
      <c r="H4" s="1023"/>
      <c r="I4" s="1023"/>
      <c r="J4" s="1023"/>
    </row>
    <row r="5" spans="1:10" ht="20.25" customHeight="1">
      <c r="A5" s="1023"/>
      <c r="B5" s="1023"/>
      <c r="C5" s="1023"/>
      <c r="D5" s="1023"/>
      <c r="E5" s="1023"/>
      <c r="F5" s="1023"/>
      <c r="G5" s="1023"/>
      <c r="H5" s="1023"/>
      <c r="I5" s="1023"/>
      <c r="J5" s="1023"/>
    </row>
    <row r="6" spans="1:10" ht="7" customHeight="1">
      <c r="C6" s="2641"/>
      <c r="D6" s="2641"/>
      <c r="E6" s="2641"/>
      <c r="F6" s="2641"/>
      <c r="G6" s="2641"/>
    </row>
    <row r="7" spans="1:10" s="2643" customFormat="1" ht="30.75" customHeight="1">
      <c r="A7" s="755" t="s">
        <v>1807</v>
      </c>
      <c r="B7" s="756" t="s">
        <v>1808</v>
      </c>
      <c r="C7" s="757" t="s">
        <v>1809</v>
      </c>
      <c r="D7" s="758" t="s">
        <v>1810</v>
      </c>
      <c r="E7" s="757" t="s">
        <v>1811</v>
      </c>
      <c r="F7" s="1024" t="s">
        <v>1812</v>
      </c>
      <c r="G7" s="1025"/>
      <c r="H7" s="2642"/>
    </row>
    <row r="8" spans="1:10" s="760" customFormat="1" ht="15" customHeight="1">
      <c r="A8" s="2644" t="s">
        <v>1813</v>
      </c>
      <c r="B8" s="814" t="s">
        <v>1814</v>
      </c>
      <c r="C8" s="814" t="s">
        <v>1815</v>
      </c>
      <c r="D8" s="2645">
        <v>265</v>
      </c>
      <c r="E8" s="2646" t="s">
        <v>1816</v>
      </c>
      <c r="F8" s="2646" t="s">
        <v>1817</v>
      </c>
      <c r="G8" s="2647">
        <v>6</v>
      </c>
      <c r="H8" s="759"/>
    </row>
    <row r="9" spans="1:10" s="760" customFormat="1" ht="15" customHeight="1">
      <c r="A9" s="2644"/>
      <c r="B9" s="1020" t="s">
        <v>1818</v>
      </c>
      <c r="C9" s="814" t="s">
        <v>1819</v>
      </c>
      <c r="D9" s="2645">
        <v>48</v>
      </c>
      <c r="E9" s="2648" t="s">
        <v>1820</v>
      </c>
      <c r="F9" s="2648" t="s">
        <v>1817</v>
      </c>
      <c r="G9" s="2647">
        <v>7</v>
      </c>
      <c r="H9" s="761"/>
    </row>
    <row r="10" spans="1:10" s="760" customFormat="1" ht="15" customHeight="1">
      <c r="A10" s="2644"/>
      <c r="B10" s="1020"/>
      <c r="C10" s="814" t="s">
        <v>1821</v>
      </c>
      <c r="D10" s="2645">
        <v>4</v>
      </c>
      <c r="E10" s="2648" t="s">
        <v>1822</v>
      </c>
      <c r="F10" s="2648" t="s">
        <v>1817</v>
      </c>
      <c r="G10" s="2647">
        <v>13</v>
      </c>
      <c r="H10" s="762"/>
    </row>
    <row r="11" spans="1:10" s="760" customFormat="1" ht="15" customHeight="1">
      <c r="A11" s="2644" t="s">
        <v>1823</v>
      </c>
      <c r="B11" s="814" t="s">
        <v>705</v>
      </c>
      <c r="C11" s="814" t="s">
        <v>1824</v>
      </c>
      <c r="D11" s="2645">
        <v>30</v>
      </c>
      <c r="E11" s="2648" t="s">
        <v>1825</v>
      </c>
      <c r="F11" s="2648" t="s">
        <v>1817</v>
      </c>
      <c r="G11" s="2647">
        <v>8</v>
      </c>
      <c r="H11" s="761"/>
    </row>
    <row r="12" spans="1:10" s="760" customFormat="1" ht="15" customHeight="1">
      <c r="A12" s="2644"/>
      <c r="B12" s="1020" t="s">
        <v>1826</v>
      </c>
      <c r="C12" s="814" t="s">
        <v>1827</v>
      </c>
      <c r="D12" s="2645">
        <v>53</v>
      </c>
      <c r="E12" s="2648" t="s">
        <v>1825</v>
      </c>
      <c r="F12" s="2648" t="s">
        <v>1817</v>
      </c>
      <c r="G12" s="2647">
        <v>8</v>
      </c>
      <c r="H12" s="761"/>
    </row>
    <row r="13" spans="1:10" s="760" customFormat="1" ht="15" customHeight="1">
      <c r="A13" s="2644"/>
      <c r="B13" s="1020"/>
      <c r="C13" s="814" t="s">
        <v>1828</v>
      </c>
      <c r="D13" s="2645">
        <v>25</v>
      </c>
      <c r="E13" s="2648" t="s">
        <v>1829</v>
      </c>
      <c r="F13" s="2648" t="s">
        <v>1817</v>
      </c>
      <c r="G13" s="2647">
        <v>8</v>
      </c>
      <c r="H13" s="761"/>
    </row>
    <row r="14" spans="1:10" s="760" customFormat="1" ht="15" customHeight="1">
      <c r="A14" s="2644"/>
      <c r="B14" s="1020"/>
      <c r="C14" s="814" t="s">
        <v>1830</v>
      </c>
      <c r="D14" s="2645">
        <v>60</v>
      </c>
      <c r="E14" s="2648" t="s">
        <v>1829</v>
      </c>
      <c r="F14" s="2648" t="s">
        <v>1817</v>
      </c>
      <c r="G14" s="2647">
        <v>8</v>
      </c>
      <c r="H14" s="761"/>
    </row>
    <row r="15" spans="1:10" s="760" customFormat="1" ht="15" customHeight="1">
      <c r="A15" s="2644"/>
      <c r="B15" s="1020" t="s">
        <v>1831</v>
      </c>
      <c r="C15" s="814" t="s">
        <v>1832</v>
      </c>
      <c r="D15" s="2645">
        <v>44</v>
      </c>
      <c r="E15" s="2648" t="s">
        <v>1833</v>
      </c>
      <c r="F15" s="2648" t="s">
        <v>1817</v>
      </c>
      <c r="G15" s="2647">
        <v>7</v>
      </c>
      <c r="H15" s="763"/>
    </row>
    <row r="16" spans="1:10" s="760" customFormat="1" ht="15" customHeight="1">
      <c r="A16" s="2644"/>
      <c r="B16" s="1020"/>
      <c r="C16" s="814" t="s">
        <v>1834</v>
      </c>
      <c r="D16" s="2645">
        <v>39</v>
      </c>
      <c r="E16" s="2648" t="s">
        <v>1835</v>
      </c>
      <c r="F16" s="2648" t="s">
        <v>1817</v>
      </c>
      <c r="G16" s="2647">
        <v>10</v>
      </c>
      <c r="H16" s="764"/>
    </row>
    <row r="17" spans="1:8" s="760" customFormat="1" ht="15" customHeight="1">
      <c r="A17" s="2644" t="s">
        <v>512</v>
      </c>
      <c r="B17" s="1020" t="s">
        <v>726</v>
      </c>
      <c r="C17" s="814" t="s">
        <v>1836</v>
      </c>
      <c r="D17" s="2645">
        <v>290</v>
      </c>
      <c r="E17" s="2648" t="s">
        <v>1837</v>
      </c>
      <c r="F17" s="2648" t="s">
        <v>1817</v>
      </c>
      <c r="G17" s="2647">
        <v>11</v>
      </c>
      <c r="H17" s="761"/>
    </row>
    <row r="18" spans="1:8" s="760" customFormat="1" ht="15" customHeight="1">
      <c r="A18" s="2644"/>
      <c r="B18" s="1020"/>
      <c r="C18" s="814" t="s">
        <v>1827</v>
      </c>
      <c r="D18" s="2645">
        <v>180</v>
      </c>
      <c r="E18" s="2648" t="s">
        <v>1822</v>
      </c>
      <c r="F18" s="2648" t="s">
        <v>1817</v>
      </c>
      <c r="G18" s="2647">
        <v>13</v>
      </c>
      <c r="H18" s="761"/>
    </row>
    <row r="19" spans="1:8" s="760" customFormat="1" ht="15" customHeight="1">
      <c r="A19" s="2644"/>
      <c r="B19" s="2649" t="s">
        <v>1838</v>
      </c>
      <c r="C19" s="814" t="s">
        <v>1839</v>
      </c>
      <c r="D19" s="2645">
        <v>12</v>
      </c>
      <c r="E19" s="2648"/>
      <c r="F19" s="2648" t="s">
        <v>1840</v>
      </c>
      <c r="G19" s="2647">
        <v>26</v>
      </c>
      <c r="H19" s="761"/>
    </row>
    <row r="20" spans="1:8" s="760" customFormat="1" ht="15" customHeight="1">
      <c r="A20" s="2644"/>
      <c r="B20" s="2650"/>
      <c r="C20" s="814" t="s">
        <v>1841</v>
      </c>
      <c r="D20" s="2645">
        <v>12</v>
      </c>
      <c r="E20" s="2648"/>
      <c r="F20" s="2648" t="s">
        <v>1840</v>
      </c>
      <c r="G20" s="2647">
        <v>26</v>
      </c>
      <c r="H20" s="761"/>
    </row>
    <row r="21" spans="1:8" s="760" customFormat="1" ht="15" customHeight="1">
      <c r="A21" s="2644"/>
      <c r="B21" s="2650"/>
      <c r="C21" s="814" t="s">
        <v>1842</v>
      </c>
      <c r="D21" s="2645">
        <v>2</v>
      </c>
      <c r="E21" s="2648"/>
      <c r="F21" s="2648" t="s">
        <v>1840</v>
      </c>
      <c r="G21" s="2647">
        <v>26</v>
      </c>
      <c r="H21" s="761"/>
    </row>
    <row r="22" spans="1:8" s="760" customFormat="1" ht="15" customHeight="1">
      <c r="A22" s="2644"/>
      <c r="B22" s="2650"/>
      <c r="C22" s="814" t="s">
        <v>1843</v>
      </c>
      <c r="D22" s="2645">
        <v>7</v>
      </c>
      <c r="E22" s="2648"/>
      <c r="F22" s="2648" t="s">
        <v>1840</v>
      </c>
      <c r="G22" s="2647">
        <v>26</v>
      </c>
      <c r="H22" s="761"/>
    </row>
    <row r="23" spans="1:8" s="760" customFormat="1" ht="15" customHeight="1">
      <c r="A23" s="2644"/>
      <c r="B23" s="2650"/>
      <c r="C23" s="814" t="s">
        <v>1844</v>
      </c>
      <c r="D23" s="2645">
        <v>5</v>
      </c>
      <c r="E23" s="2648"/>
      <c r="F23" s="2648" t="s">
        <v>1840</v>
      </c>
      <c r="G23" s="2647">
        <v>26</v>
      </c>
      <c r="H23" s="761"/>
    </row>
    <row r="24" spans="1:8" s="760" customFormat="1" ht="15" customHeight="1">
      <c r="A24" s="2644"/>
      <c r="B24" s="2651"/>
      <c r="C24" s="814" t="s">
        <v>1845</v>
      </c>
      <c r="D24" s="2645">
        <v>23</v>
      </c>
      <c r="E24" s="2648"/>
      <c r="F24" s="2648" t="s">
        <v>1840</v>
      </c>
      <c r="G24" s="2647">
        <v>27</v>
      </c>
      <c r="H24" s="761"/>
    </row>
    <row r="25" spans="1:8" s="760" customFormat="1" ht="15" customHeight="1">
      <c r="A25" s="2644"/>
      <c r="B25" s="814" t="s">
        <v>1846</v>
      </c>
      <c r="C25" s="814" t="s">
        <v>1827</v>
      </c>
      <c r="D25" s="2645">
        <v>40</v>
      </c>
      <c r="E25" s="2648" t="s">
        <v>1847</v>
      </c>
      <c r="F25" s="2648" t="s">
        <v>1817</v>
      </c>
      <c r="G25" s="2647">
        <v>11</v>
      </c>
      <c r="H25" s="761"/>
    </row>
    <row r="26" spans="1:8" s="760" customFormat="1" ht="15" customHeight="1">
      <c r="A26" s="2644"/>
      <c r="B26" s="814" t="s">
        <v>732</v>
      </c>
      <c r="C26" s="814" t="s">
        <v>1848</v>
      </c>
      <c r="D26" s="2645">
        <v>118</v>
      </c>
      <c r="E26" s="2648" t="s">
        <v>1849</v>
      </c>
      <c r="F26" s="2648" t="s">
        <v>1817</v>
      </c>
      <c r="G26" s="2647">
        <v>11</v>
      </c>
      <c r="H26" s="761"/>
    </row>
    <row r="27" spans="1:8" s="760" customFormat="1" ht="15" customHeight="1">
      <c r="A27" s="2644" t="s">
        <v>1850</v>
      </c>
      <c r="B27" s="1020" t="s">
        <v>738</v>
      </c>
      <c r="C27" s="814" t="s">
        <v>1851</v>
      </c>
      <c r="D27" s="2645">
        <v>21</v>
      </c>
      <c r="E27" s="2648" t="s">
        <v>1852</v>
      </c>
      <c r="F27" s="2648" t="s">
        <v>1817</v>
      </c>
      <c r="G27" s="2647">
        <v>5</v>
      </c>
      <c r="H27" s="765"/>
    </row>
    <row r="28" spans="1:8" s="760" customFormat="1" ht="15" customHeight="1">
      <c r="A28" s="2644"/>
      <c r="B28" s="1020"/>
      <c r="C28" s="814" t="s">
        <v>1853</v>
      </c>
      <c r="D28" s="2645">
        <v>157</v>
      </c>
      <c r="E28" s="2648" t="s">
        <v>1854</v>
      </c>
      <c r="F28" s="2648" t="s">
        <v>1817</v>
      </c>
      <c r="G28" s="2647">
        <v>9</v>
      </c>
      <c r="H28" s="766"/>
    </row>
    <row r="29" spans="1:8" s="760" customFormat="1" ht="15" customHeight="1">
      <c r="A29" s="2644"/>
      <c r="B29" s="814" t="s">
        <v>836</v>
      </c>
      <c r="C29" s="814" t="s">
        <v>1855</v>
      </c>
      <c r="D29" s="2645">
        <v>67</v>
      </c>
      <c r="E29" s="2648" t="s">
        <v>1856</v>
      </c>
      <c r="F29" s="2648" t="s">
        <v>1817</v>
      </c>
      <c r="G29" s="2647">
        <v>6</v>
      </c>
      <c r="H29" s="766"/>
    </row>
    <row r="30" spans="1:8" s="760" customFormat="1" ht="15" customHeight="1">
      <c r="A30" s="2644"/>
      <c r="B30" s="814" t="s">
        <v>1319</v>
      </c>
      <c r="C30" s="814" t="s">
        <v>1857</v>
      </c>
      <c r="D30" s="2645">
        <v>40</v>
      </c>
      <c r="E30" s="2648" t="s">
        <v>1816</v>
      </c>
      <c r="F30" s="2648" t="s">
        <v>1817</v>
      </c>
      <c r="G30" s="2647">
        <v>6</v>
      </c>
      <c r="H30" s="761"/>
    </row>
    <row r="31" spans="1:8" s="760" customFormat="1" ht="15" customHeight="1">
      <c r="A31" s="2644"/>
      <c r="B31" s="814" t="s">
        <v>1858</v>
      </c>
      <c r="C31" s="814" t="s">
        <v>1859</v>
      </c>
      <c r="D31" s="2645">
        <v>110</v>
      </c>
      <c r="E31" s="2648" t="s">
        <v>1820</v>
      </c>
      <c r="F31" s="2648" t="s">
        <v>1817</v>
      </c>
      <c r="G31" s="2647">
        <v>7</v>
      </c>
      <c r="H31" s="761"/>
    </row>
    <row r="32" spans="1:8" s="760" customFormat="1" ht="15" customHeight="1">
      <c r="A32" s="2644"/>
      <c r="B32" s="814" t="s">
        <v>1321</v>
      </c>
      <c r="C32" s="814" t="s">
        <v>1860</v>
      </c>
      <c r="D32" s="2645">
        <v>32</v>
      </c>
      <c r="E32" s="2648" t="s">
        <v>1861</v>
      </c>
      <c r="F32" s="2648" t="s">
        <v>1817</v>
      </c>
      <c r="G32" s="2647">
        <v>12</v>
      </c>
      <c r="H32" s="761"/>
    </row>
    <row r="33" spans="1:8" s="760" customFormat="1" ht="15" customHeight="1">
      <c r="A33" s="2644"/>
      <c r="B33" s="814" t="s">
        <v>1311</v>
      </c>
      <c r="C33" s="814" t="s">
        <v>1862</v>
      </c>
      <c r="D33" s="2645">
        <v>15</v>
      </c>
      <c r="E33" s="2648" t="s">
        <v>1837</v>
      </c>
      <c r="F33" s="2648" t="s">
        <v>1817</v>
      </c>
      <c r="G33" s="2647">
        <v>11</v>
      </c>
      <c r="H33" s="761"/>
    </row>
    <row r="34" spans="1:8" s="760" customFormat="1" ht="15" customHeight="1">
      <c r="A34" s="2644" t="s">
        <v>745</v>
      </c>
      <c r="B34" s="814" t="s">
        <v>1863</v>
      </c>
      <c r="C34" s="814" t="s">
        <v>1864</v>
      </c>
      <c r="D34" s="2645">
        <v>85</v>
      </c>
      <c r="E34" s="2648" t="s">
        <v>1849</v>
      </c>
      <c r="F34" s="2648" t="s">
        <v>1817</v>
      </c>
      <c r="G34" s="2647">
        <v>11</v>
      </c>
      <c r="H34" s="766"/>
    </row>
    <row r="35" spans="1:8" s="760" customFormat="1" ht="15" customHeight="1">
      <c r="A35" s="2644"/>
      <c r="B35" s="1020" t="s">
        <v>746</v>
      </c>
      <c r="C35" s="814" t="s">
        <v>1865</v>
      </c>
      <c r="D35" s="2645">
        <v>84</v>
      </c>
      <c r="E35" s="2648" t="s">
        <v>1820</v>
      </c>
      <c r="F35" s="2648" t="s">
        <v>1817</v>
      </c>
      <c r="G35" s="2647">
        <v>7</v>
      </c>
      <c r="H35" s="761"/>
    </row>
    <row r="36" spans="1:8" s="760" customFormat="1" ht="15" customHeight="1">
      <c r="A36" s="2644"/>
      <c r="B36" s="1020"/>
      <c r="C36" s="814" t="s">
        <v>1866</v>
      </c>
      <c r="D36" s="2645">
        <v>69</v>
      </c>
      <c r="E36" s="2648" t="s">
        <v>1825</v>
      </c>
      <c r="F36" s="2648" t="s">
        <v>1817</v>
      </c>
      <c r="G36" s="2647">
        <v>8</v>
      </c>
      <c r="H36" s="761"/>
    </row>
    <row r="37" spans="1:8" s="760" customFormat="1" ht="15" customHeight="1">
      <c r="A37" s="2644"/>
      <c r="B37" s="814" t="s">
        <v>1324</v>
      </c>
      <c r="C37" s="814" t="s">
        <v>1867</v>
      </c>
      <c r="D37" s="2645">
        <v>191</v>
      </c>
      <c r="E37" s="2648" t="s">
        <v>1833</v>
      </c>
      <c r="F37" s="2648" t="s">
        <v>1817</v>
      </c>
      <c r="G37" s="2647">
        <v>7</v>
      </c>
      <c r="H37" s="761"/>
    </row>
    <row r="38" spans="1:8" s="760" customFormat="1" ht="15" customHeight="1">
      <c r="A38" s="2644"/>
      <c r="B38" s="1020" t="s">
        <v>1868</v>
      </c>
      <c r="C38" s="814" t="s">
        <v>1869</v>
      </c>
      <c r="D38" s="2645">
        <v>13</v>
      </c>
      <c r="E38" s="2648" t="s">
        <v>1870</v>
      </c>
      <c r="F38" s="2648" t="s">
        <v>1817</v>
      </c>
      <c r="G38" s="2647">
        <v>9</v>
      </c>
      <c r="H38" s="761"/>
    </row>
    <row r="39" spans="1:8" s="760" customFormat="1" ht="15" customHeight="1">
      <c r="A39" s="2644"/>
      <c r="B39" s="1020"/>
      <c r="C39" s="814" t="s">
        <v>1871</v>
      </c>
      <c r="D39" s="2645">
        <v>121</v>
      </c>
      <c r="E39" s="2648" t="s">
        <v>1872</v>
      </c>
      <c r="F39" s="2648" t="s">
        <v>1817</v>
      </c>
      <c r="G39" s="2647">
        <v>12</v>
      </c>
      <c r="H39" s="761"/>
    </row>
    <row r="40" spans="1:8" s="760" customFormat="1" ht="15" customHeight="1">
      <c r="A40" s="2644" t="s">
        <v>1873</v>
      </c>
      <c r="B40" s="814" t="s">
        <v>806</v>
      </c>
      <c r="C40" s="814" t="s">
        <v>1874</v>
      </c>
      <c r="D40" s="2645">
        <v>161</v>
      </c>
      <c r="E40" s="2648" t="s">
        <v>1875</v>
      </c>
      <c r="F40" s="2648" t="s">
        <v>1817</v>
      </c>
      <c r="G40" s="2647">
        <v>6</v>
      </c>
      <c r="H40" s="765"/>
    </row>
    <row r="41" spans="1:8" s="760" customFormat="1" ht="15" customHeight="1">
      <c r="A41" s="2644"/>
      <c r="B41" s="814" t="s">
        <v>1876</v>
      </c>
      <c r="C41" s="814" t="s">
        <v>1877</v>
      </c>
      <c r="D41" s="2645">
        <v>165</v>
      </c>
      <c r="E41" s="2648" t="s">
        <v>1878</v>
      </c>
      <c r="F41" s="2648" t="s">
        <v>1817</v>
      </c>
      <c r="G41" s="2647">
        <v>7</v>
      </c>
      <c r="H41" s="764"/>
    </row>
    <row r="42" spans="1:8" s="760" customFormat="1" ht="15" customHeight="1">
      <c r="A42" s="2648" t="s">
        <v>1879</v>
      </c>
      <c r="B42" s="814" t="s">
        <v>755</v>
      </c>
      <c r="C42" s="814" t="s">
        <v>1880</v>
      </c>
      <c r="D42" s="2645">
        <v>112</v>
      </c>
      <c r="E42" s="2648" t="s">
        <v>1881</v>
      </c>
      <c r="F42" s="2648" t="s">
        <v>1817</v>
      </c>
      <c r="G42" s="2647">
        <v>12</v>
      </c>
      <c r="H42" s="767"/>
    </row>
    <row r="43" spans="1:8" s="760" customFormat="1" ht="15" customHeight="1">
      <c r="A43" s="2644" t="s">
        <v>255</v>
      </c>
      <c r="B43" s="2652" t="s">
        <v>760</v>
      </c>
      <c r="C43" s="814" t="s">
        <v>1882</v>
      </c>
      <c r="D43" s="2645">
        <v>23</v>
      </c>
      <c r="E43" s="2648" t="s">
        <v>1883</v>
      </c>
      <c r="F43" s="2648" t="s">
        <v>1817</v>
      </c>
      <c r="G43" s="2647">
        <v>5</v>
      </c>
      <c r="H43" s="761"/>
    </row>
    <row r="44" spans="1:8" s="760" customFormat="1" ht="15" customHeight="1">
      <c r="A44" s="2644"/>
      <c r="B44" s="2652"/>
      <c r="C44" s="814" t="s">
        <v>1884</v>
      </c>
      <c r="D44" s="2645">
        <v>8</v>
      </c>
      <c r="E44" s="2648" t="s">
        <v>1885</v>
      </c>
      <c r="F44" s="2648" t="s">
        <v>1817</v>
      </c>
      <c r="G44" s="2647">
        <v>10</v>
      </c>
      <c r="H44" s="761"/>
    </row>
    <row r="45" spans="1:8" s="760" customFormat="1" ht="15" customHeight="1">
      <c r="A45" s="2644"/>
      <c r="B45" s="2652"/>
      <c r="C45" s="814" t="s">
        <v>1886</v>
      </c>
      <c r="D45" s="2645">
        <v>83</v>
      </c>
      <c r="E45" s="2648" t="s">
        <v>1887</v>
      </c>
      <c r="F45" s="2648" t="s">
        <v>1817</v>
      </c>
      <c r="G45" s="2647">
        <v>11</v>
      </c>
      <c r="H45" s="761"/>
    </row>
    <row r="46" spans="1:8" s="760" customFormat="1" ht="15" customHeight="1">
      <c r="A46" s="2644"/>
      <c r="B46" s="2652"/>
      <c r="C46" s="814" t="s">
        <v>1888</v>
      </c>
      <c r="D46" s="2645">
        <v>133</v>
      </c>
      <c r="E46" s="2648" t="s">
        <v>1889</v>
      </c>
      <c r="F46" s="2648" t="s">
        <v>1817</v>
      </c>
      <c r="G46" s="2647">
        <v>13</v>
      </c>
      <c r="H46" s="761"/>
    </row>
    <row r="47" spans="1:8" s="760" customFormat="1" ht="15" customHeight="1">
      <c r="A47" s="2644"/>
      <c r="B47" s="2653" t="s">
        <v>1890</v>
      </c>
      <c r="C47" s="814" t="s">
        <v>1891</v>
      </c>
      <c r="D47" s="2645">
        <v>99</v>
      </c>
      <c r="E47" s="2648" t="s">
        <v>1892</v>
      </c>
      <c r="F47" s="2648" t="s">
        <v>1817</v>
      </c>
      <c r="G47" s="2647">
        <v>5</v>
      </c>
      <c r="H47" s="761"/>
    </row>
    <row r="48" spans="1:8" s="760" customFormat="1" ht="15" customHeight="1">
      <c r="A48" s="2644"/>
      <c r="B48" s="1020" t="s">
        <v>764</v>
      </c>
      <c r="C48" s="814" t="s">
        <v>1893</v>
      </c>
      <c r="D48" s="2645">
        <v>174</v>
      </c>
      <c r="E48" s="2648" t="s">
        <v>1816</v>
      </c>
      <c r="F48" s="2648" t="s">
        <v>1817</v>
      </c>
      <c r="G48" s="2647">
        <v>6</v>
      </c>
      <c r="H48" s="761"/>
    </row>
    <row r="49" spans="1:8" s="760" customFormat="1" ht="15" customHeight="1">
      <c r="A49" s="2644"/>
      <c r="B49" s="1020"/>
      <c r="C49" s="814" t="s">
        <v>1894</v>
      </c>
      <c r="D49" s="2645">
        <v>145</v>
      </c>
      <c r="E49" s="2648" t="s">
        <v>1870</v>
      </c>
      <c r="F49" s="2648" t="s">
        <v>1817</v>
      </c>
      <c r="G49" s="2647">
        <v>9</v>
      </c>
      <c r="H49" s="761"/>
    </row>
    <row r="50" spans="1:8" s="760" customFormat="1" ht="15" customHeight="1">
      <c r="A50" s="2644"/>
      <c r="B50" s="1020"/>
      <c r="C50" s="814" t="s">
        <v>1895</v>
      </c>
      <c r="D50" s="2645">
        <v>140</v>
      </c>
      <c r="E50" s="2648" t="s">
        <v>1896</v>
      </c>
      <c r="F50" s="2648" t="s">
        <v>1817</v>
      </c>
      <c r="G50" s="2647">
        <v>13</v>
      </c>
      <c r="H50" s="761"/>
    </row>
    <row r="51" spans="1:8" s="760" customFormat="1" ht="15" customHeight="1">
      <c r="A51" s="2644"/>
      <c r="B51" s="1020"/>
      <c r="C51" s="814" t="s">
        <v>1897</v>
      </c>
      <c r="D51" s="2645">
        <v>38</v>
      </c>
      <c r="E51" s="2648" t="s">
        <v>1889</v>
      </c>
      <c r="F51" s="2648" t="s">
        <v>1817</v>
      </c>
      <c r="G51" s="2647">
        <v>18</v>
      </c>
      <c r="H51" s="761"/>
    </row>
    <row r="52" spans="1:8" s="760" customFormat="1" ht="15" customHeight="1">
      <c r="A52" s="2644"/>
      <c r="B52" s="814" t="s">
        <v>1898</v>
      </c>
      <c r="C52" s="814" t="s">
        <v>1899</v>
      </c>
      <c r="D52" s="2645">
        <v>190</v>
      </c>
      <c r="E52" s="2648" t="s">
        <v>1820</v>
      </c>
      <c r="F52" s="2648" t="s">
        <v>1817</v>
      </c>
      <c r="G52" s="2647">
        <v>7</v>
      </c>
      <c r="H52" s="761"/>
    </row>
    <row r="53" spans="1:8" s="760" customFormat="1" ht="15" customHeight="1">
      <c r="A53" s="2648" t="s">
        <v>1900</v>
      </c>
      <c r="B53" s="814" t="s">
        <v>1901</v>
      </c>
      <c r="C53" s="814" t="s">
        <v>1902</v>
      </c>
      <c r="D53" s="2645">
        <v>31</v>
      </c>
      <c r="E53" s="2648" t="s">
        <v>1829</v>
      </c>
      <c r="F53" s="2648" t="s">
        <v>1840</v>
      </c>
      <c r="G53" s="2647">
        <v>8</v>
      </c>
      <c r="H53" s="767"/>
    </row>
    <row r="54" spans="1:8" s="760" customFormat="1" ht="15" customHeight="1">
      <c r="A54" s="1019" t="s">
        <v>1903</v>
      </c>
      <c r="B54" s="1019"/>
      <c r="C54" s="1019"/>
      <c r="D54" s="768">
        <f>SUM(D8:D53)</f>
        <v>3764</v>
      </c>
      <c r="E54" s="815"/>
      <c r="F54" s="815"/>
      <c r="G54" s="769"/>
      <c r="H54" s="770"/>
    </row>
    <row r="55" spans="1:8" s="760" customFormat="1" ht="15" customHeight="1">
      <c r="A55" s="760" t="s">
        <v>1904</v>
      </c>
      <c r="B55" s="771"/>
      <c r="C55" s="771"/>
      <c r="E55" s="772"/>
      <c r="F55" s="772"/>
    </row>
    <row r="56" spans="1:8" ht="17.149999999999999" customHeight="1">
      <c r="A56" s="2643"/>
    </row>
  </sheetData>
  <mergeCells count="22">
    <mergeCell ref="A43:A52"/>
    <mergeCell ref="B43:B46"/>
    <mergeCell ref="B48:B51"/>
    <mergeCell ref="A54:C54"/>
    <mergeCell ref="A27:A33"/>
    <mergeCell ref="B27:B28"/>
    <mergeCell ref="A34:A39"/>
    <mergeCell ref="B35:B36"/>
    <mergeCell ref="B38:B39"/>
    <mergeCell ref="A40:A41"/>
    <mergeCell ref="A11:A16"/>
    <mergeCell ref="B12:B14"/>
    <mergeCell ref="B15:B16"/>
    <mergeCell ref="A17:A26"/>
    <mergeCell ref="B17:B18"/>
    <mergeCell ref="B19:B24"/>
    <mergeCell ref="A2:J3"/>
    <mergeCell ref="A4:J5"/>
    <mergeCell ref="C6:G6"/>
    <mergeCell ref="F7:G7"/>
    <mergeCell ref="A8:A10"/>
    <mergeCell ref="B9:B10"/>
  </mergeCells>
  <phoneticPr fontId="6"/>
  <printOptions horizontalCentered="1"/>
  <pageMargins left="1.1811023622047245" right="0.59055118110236227" top="0.39370078740157483" bottom="0.59055118110236227" header="0.51181102362204722" footer="0.31496062992125984"/>
  <pageSetup paperSize="9" scale="95"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1D5980-2E9D-4CDE-B1A5-337CF5D217FA}">
  <dimension ref="A1:H29"/>
  <sheetViews>
    <sheetView view="pageBreakPreview" zoomScaleNormal="100" zoomScaleSheetLayoutView="100" workbookViewId="0"/>
  </sheetViews>
  <sheetFormatPr defaultColWidth="9" defaultRowHeight="13"/>
  <cols>
    <col min="1" max="1" width="7.08984375" style="2661" customWidth="1"/>
    <col min="2" max="2" width="13.6328125" style="2655" customWidth="1"/>
    <col min="3" max="3" width="35.6328125" style="2655" customWidth="1"/>
    <col min="4" max="4" width="6.6328125" style="2656" customWidth="1"/>
    <col min="5" max="5" width="10.453125" style="2661" customWidth="1"/>
    <col min="6" max="6" width="2.6328125" style="2661" customWidth="1"/>
    <col min="7" max="7" width="3.6328125" style="2656" customWidth="1"/>
    <col min="8" max="8" width="3.90625" style="2657" customWidth="1"/>
    <col min="9" max="16384" width="9" style="2657"/>
  </cols>
  <sheetData>
    <row r="1" spans="1:8" ht="22.5" customHeight="1">
      <c r="A1" s="2654" t="s">
        <v>2446</v>
      </c>
      <c r="E1" s="2656"/>
      <c r="F1" s="2656"/>
    </row>
    <row r="2" spans="1:8" ht="17" customHeight="1">
      <c r="A2" s="2658" t="s">
        <v>2147</v>
      </c>
      <c r="B2" s="2659"/>
      <c r="C2" s="2659"/>
      <c r="D2" s="2659"/>
      <c r="E2" s="2659"/>
      <c r="F2" s="2659"/>
      <c r="G2" s="2659"/>
      <c r="H2" s="2659"/>
    </row>
    <row r="3" spans="1:8" ht="20.25" customHeight="1">
      <c r="A3" s="2659"/>
      <c r="B3" s="2659"/>
      <c r="C3" s="2659"/>
      <c r="D3" s="2659"/>
      <c r="E3" s="2659"/>
      <c r="F3" s="2659"/>
      <c r="G3" s="2659"/>
      <c r="H3" s="2659"/>
    </row>
    <row r="4" spans="1:8" ht="20.25" customHeight="1">
      <c r="A4" s="2660" t="s">
        <v>2148</v>
      </c>
      <c r="B4" s="2660"/>
      <c r="C4" s="2660"/>
      <c r="D4" s="2660"/>
      <c r="E4" s="2660"/>
      <c r="F4" s="2660"/>
      <c r="G4" s="2660"/>
      <c r="H4" s="2660"/>
    </row>
    <row r="5" spans="1:8" ht="93" customHeight="1">
      <c r="A5" s="2660"/>
      <c r="B5" s="2660"/>
      <c r="C5" s="2660"/>
      <c r="D5" s="2660"/>
      <c r="E5" s="2660"/>
      <c r="F5" s="2660"/>
      <c r="G5" s="2660"/>
      <c r="H5" s="2660"/>
    </row>
    <row r="6" spans="1:8" ht="12.5" customHeight="1">
      <c r="C6" s="2662"/>
      <c r="D6" s="2662"/>
      <c r="E6" s="2662"/>
      <c r="F6" s="2662"/>
      <c r="G6" s="2662"/>
    </row>
    <row r="7" spans="1:8" s="2669" customFormat="1" ht="30.75" customHeight="1">
      <c r="A7" s="2663" t="s">
        <v>1807</v>
      </c>
      <c r="B7" s="2664" t="s">
        <v>1808</v>
      </c>
      <c r="C7" s="2665" t="s">
        <v>2149</v>
      </c>
      <c r="D7" s="2666" t="s">
        <v>1810</v>
      </c>
      <c r="E7" s="2665" t="s">
        <v>1811</v>
      </c>
      <c r="F7" s="2667" t="s">
        <v>1812</v>
      </c>
      <c r="G7" s="2668"/>
    </row>
    <row r="8" spans="1:8" s="2677" customFormat="1" ht="15" customHeight="1">
      <c r="A8" s="2670" t="s">
        <v>507</v>
      </c>
      <c r="B8" s="2671" t="s">
        <v>2150</v>
      </c>
      <c r="C8" s="2672" t="s">
        <v>2151</v>
      </c>
      <c r="D8" s="2673">
        <v>78.06</v>
      </c>
      <c r="E8" s="2674">
        <v>42348</v>
      </c>
      <c r="F8" s="2675" t="s">
        <v>1840</v>
      </c>
      <c r="G8" s="2676">
        <v>27</v>
      </c>
    </row>
    <row r="9" spans="1:8" s="2677" customFormat="1" ht="15" customHeight="1">
      <c r="A9" s="2678"/>
      <c r="B9" s="2679"/>
      <c r="C9" s="2672" t="s">
        <v>2152</v>
      </c>
      <c r="D9" s="2673">
        <v>200.23</v>
      </c>
      <c r="E9" s="2680"/>
      <c r="F9" s="2681"/>
      <c r="G9" s="2682"/>
    </row>
    <row r="10" spans="1:8" s="2677" customFormat="1" ht="15" customHeight="1">
      <c r="A10" s="2678"/>
      <c r="B10" s="2679"/>
      <c r="C10" s="2672" t="s">
        <v>2153</v>
      </c>
      <c r="D10" s="2673">
        <v>40.44</v>
      </c>
      <c r="E10" s="2674">
        <v>42712</v>
      </c>
      <c r="F10" s="2670" t="s">
        <v>1840</v>
      </c>
      <c r="G10" s="2676">
        <v>28</v>
      </c>
    </row>
    <row r="11" spans="1:8" s="2677" customFormat="1" ht="15" customHeight="1">
      <c r="A11" s="2678"/>
      <c r="B11" s="2679"/>
      <c r="C11" s="2672" t="s">
        <v>2154</v>
      </c>
      <c r="D11" s="2673">
        <v>7.33</v>
      </c>
      <c r="E11" s="2680"/>
      <c r="F11" s="2683"/>
      <c r="G11" s="2682"/>
    </row>
    <row r="12" spans="1:8" s="2677" customFormat="1" ht="15" customHeight="1">
      <c r="A12" s="2678"/>
      <c r="B12" s="2679"/>
      <c r="C12" s="2672" t="s">
        <v>2155</v>
      </c>
      <c r="D12" s="2673">
        <v>26.56</v>
      </c>
      <c r="E12" s="2684">
        <v>43150</v>
      </c>
      <c r="F12" s="2685" t="s">
        <v>1840</v>
      </c>
      <c r="G12" s="2686">
        <v>29</v>
      </c>
    </row>
    <row r="13" spans="1:8" s="2677" customFormat="1" ht="15" customHeight="1">
      <c r="A13" s="2678"/>
      <c r="B13" s="2687"/>
      <c r="C13" s="2672" t="s">
        <v>2156</v>
      </c>
      <c r="D13" s="2673">
        <v>6.61</v>
      </c>
      <c r="E13" s="2684">
        <v>43937</v>
      </c>
      <c r="F13" s="2685" t="s">
        <v>2157</v>
      </c>
      <c r="G13" s="2686">
        <v>2</v>
      </c>
    </row>
    <row r="14" spans="1:8" s="2677" customFormat="1" ht="15" customHeight="1">
      <c r="A14" s="2678"/>
      <c r="B14" s="2688" t="s">
        <v>2158</v>
      </c>
      <c r="C14" s="2672" t="s">
        <v>2159</v>
      </c>
      <c r="D14" s="2673">
        <v>64.34</v>
      </c>
      <c r="E14" s="2684">
        <v>41687</v>
      </c>
      <c r="F14" s="2685" t="s">
        <v>1840</v>
      </c>
      <c r="G14" s="2686">
        <v>26</v>
      </c>
    </row>
    <row r="15" spans="1:8" s="2677" customFormat="1" ht="15" customHeight="1">
      <c r="A15" s="2678"/>
      <c r="B15" s="2671" t="s">
        <v>2160</v>
      </c>
      <c r="C15" s="2672" t="s">
        <v>2161</v>
      </c>
      <c r="D15" s="2673">
        <v>39.25</v>
      </c>
      <c r="E15" s="2674">
        <v>44245</v>
      </c>
      <c r="F15" s="2670" t="s">
        <v>2157</v>
      </c>
      <c r="G15" s="2676">
        <v>2</v>
      </c>
    </row>
    <row r="16" spans="1:8" s="2677" customFormat="1" ht="15" customHeight="1">
      <c r="A16" s="2678"/>
      <c r="B16" s="2679"/>
      <c r="C16" s="2672" t="s">
        <v>2162</v>
      </c>
      <c r="D16" s="2673">
        <v>5.9</v>
      </c>
      <c r="E16" s="2689"/>
      <c r="F16" s="2678"/>
      <c r="G16" s="2690"/>
    </row>
    <row r="17" spans="1:7" s="2677" customFormat="1" ht="15" customHeight="1">
      <c r="A17" s="2678"/>
      <c r="B17" s="2679"/>
      <c r="C17" s="2672" t="s">
        <v>2163</v>
      </c>
      <c r="D17" s="2673">
        <v>8.42</v>
      </c>
      <c r="E17" s="2689"/>
      <c r="F17" s="2678"/>
      <c r="G17" s="2690"/>
    </row>
    <row r="18" spans="1:7" s="2677" customFormat="1" ht="15" customHeight="1">
      <c r="A18" s="2683"/>
      <c r="B18" s="2687"/>
      <c r="C18" s="2672" t="s">
        <v>2164</v>
      </c>
      <c r="D18" s="2673">
        <v>15.34</v>
      </c>
      <c r="E18" s="2680"/>
      <c r="F18" s="2683"/>
      <c r="G18" s="2682"/>
    </row>
    <row r="19" spans="1:7" s="2677" customFormat="1" ht="15" customHeight="1">
      <c r="A19" s="2685" t="s">
        <v>711</v>
      </c>
      <c r="B19" s="2688" t="s">
        <v>2165</v>
      </c>
      <c r="C19" s="2672" t="s">
        <v>2166</v>
      </c>
      <c r="D19" s="2673">
        <v>14.16</v>
      </c>
      <c r="E19" s="2684">
        <v>42173</v>
      </c>
      <c r="F19" s="2685" t="s">
        <v>1840</v>
      </c>
      <c r="G19" s="2686">
        <v>27</v>
      </c>
    </row>
    <row r="20" spans="1:7" s="2677" customFormat="1" ht="15" customHeight="1">
      <c r="A20" s="2670" t="s">
        <v>512</v>
      </c>
      <c r="B20" s="2671" t="s">
        <v>2167</v>
      </c>
      <c r="C20" s="2672" t="s">
        <v>2168</v>
      </c>
      <c r="D20" s="2673">
        <v>11.73</v>
      </c>
      <c r="E20" s="2674">
        <v>41963</v>
      </c>
      <c r="F20" s="2670" t="s">
        <v>1840</v>
      </c>
      <c r="G20" s="2676">
        <v>26</v>
      </c>
    </row>
    <row r="21" spans="1:7" s="2677" customFormat="1" ht="15" customHeight="1">
      <c r="A21" s="2678"/>
      <c r="B21" s="2679"/>
      <c r="C21" s="2672" t="s">
        <v>2169</v>
      </c>
      <c r="D21" s="2673">
        <v>12.32</v>
      </c>
      <c r="E21" s="2689"/>
      <c r="F21" s="2678"/>
      <c r="G21" s="2690"/>
    </row>
    <row r="22" spans="1:7" s="2677" customFormat="1" ht="15" customHeight="1">
      <c r="A22" s="2678"/>
      <c r="B22" s="2679"/>
      <c r="C22" s="2672" t="s">
        <v>2170</v>
      </c>
      <c r="D22" s="2673">
        <v>1.82</v>
      </c>
      <c r="E22" s="2689"/>
      <c r="F22" s="2678"/>
      <c r="G22" s="2690"/>
    </row>
    <row r="23" spans="1:7" s="2677" customFormat="1" ht="15" customHeight="1">
      <c r="A23" s="2678"/>
      <c r="B23" s="2679"/>
      <c r="C23" s="2672" t="s">
        <v>2171</v>
      </c>
      <c r="D23" s="2673">
        <v>6.63</v>
      </c>
      <c r="E23" s="2689"/>
      <c r="F23" s="2678"/>
      <c r="G23" s="2690"/>
    </row>
    <row r="24" spans="1:7" s="2677" customFormat="1" ht="15" customHeight="1">
      <c r="A24" s="2678"/>
      <c r="B24" s="2679"/>
      <c r="C24" s="2672" t="s">
        <v>2172</v>
      </c>
      <c r="D24" s="2691">
        <v>4.4800000000000004</v>
      </c>
      <c r="E24" s="2689"/>
      <c r="F24" s="2678"/>
      <c r="G24" s="2690"/>
    </row>
    <row r="25" spans="1:7" s="2677" customFormat="1" ht="15" customHeight="1">
      <c r="A25" s="2683"/>
      <c r="B25" s="2687"/>
      <c r="C25" s="2672" t="s">
        <v>2173</v>
      </c>
      <c r="D25" s="2673">
        <v>23.11</v>
      </c>
      <c r="E25" s="2684">
        <v>42285</v>
      </c>
      <c r="F25" s="2685" t="s">
        <v>1840</v>
      </c>
      <c r="G25" s="2686">
        <v>27</v>
      </c>
    </row>
    <row r="26" spans="1:7" s="2677" customFormat="1" ht="15" customHeight="1">
      <c r="A26" s="2688" t="s">
        <v>2174</v>
      </c>
      <c r="B26" s="2692" t="s">
        <v>2175</v>
      </c>
      <c r="C26" s="2672" t="s">
        <v>2176</v>
      </c>
      <c r="D26" s="2673">
        <v>0.52</v>
      </c>
      <c r="E26" s="2684">
        <v>42110</v>
      </c>
      <c r="F26" s="2685" t="s">
        <v>1840</v>
      </c>
      <c r="G26" s="2686">
        <v>27</v>
      </c>
    </row>
    <row r="27" spans="1:7" s="2677" customFormat="1" ht="15" customHeight="1">
      <c r="A27" s="2693" t="s">
        <v>2177</v>
      </c>
      <c r="B27" s="2693"/>
      <c r="C27" s="2693"/>
      <c r="D27" s="785">
        <f>SUM(D8:D26)</f>
        <v>567.25</v>
      </c>
      <c r="E27" s="2694"/>
      <c r="F27" s="2694"/>
      <c r="G27" s="2695"/>
    </row>
    <row r="28" spans="1:7" s="2677" customFormat="1" ht="15" customHeight="1">
      <c r="B28" s="2696"/>
      <c r="C28" s="2696"/>
      <c r="E28" s="2697"/>
      <c r="F28" s="2697"/>
    </row>
    <row r="29" spans="1:7" ht="17.149999999999999" customHeight="1">
      <c r="A29" s="2669"/>
    </row>
  </sheetData>
  <mergeCells count="22">
    <mergeCell ref="A20:A25"/>
    <mergeCell ref="B20:B25"/>
    <mergeCell ref="E20:E24"/>
    <mergeCell ref="F20:F24"/>
    <mergeCell ref="G20:G24"/>
    <mergeCell ref="A27:C27"/>
    <mergeCell ref="F10:F11"/>
    <mergeCell ref="G10:G11"/>
    <mergeCell ref="B15:B18"/>
    <mergeCell ref="E15:E18"/>
    <mergeCell ref="F15:F18"/>
    <mergeCell ref="G15:G18"/>
    <mergeCell ref="A2:H3"/>
    <mergeCell ref="A4:H5"/>
    <mergeCell ref="C6:G6"/>
    <mergeCell ref="F7:G7"/>
    <mergeCell ref="A8:A18"/>
    <mergeCell ref="B8:B13"/>
    <mergeCell ref="E8:E9"/>
    <mergeCell ref="F8:F9"/>
    <mergeCell ref="G8:G9"/>
    <mergeCell ref="E10:E11"/>
  </mergeCells>
  <phoneticPr fontId="6"/>
  <printOptions horizontalCentered="1"/>
  <pageMargins left="1.1811023622047245" right="0.59055118110236227" top="0.39370078740157483" bottom="0.59055118110236227" header="0.51181102362204722" footer="0.31496062992125984"/>
  <pageSetup paperSize="9" scale="95" orientation="portrait"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02D2A4-9B0E-4C52-9C3C-EB8508DD5819}">
  <dimension ref="A1:F39"/>
  <sheetViews>
    <sheetView showGridLines="0" view="pageBreakPreview" zoomScale="120" zoomScaleNormal="120" zoomScaleSheetLayoutView="120" workbookViewId="0"/>
  </sheetViews>
  <sheetFormatPr defaultColWidth="9" defaultRowHeight="13.5" customHeight="1"/>
  <cols>
    <col min="1" max="1" width="10.6328125" style="2706" customWidth="1"/>
    <col min="2" max="2" width="14.26953125" style="2706" customWidth="1"/>
    <col min="3" max="3" width="20" style="2706" customWidth="1"/>
    <col min="4" max="4" width="2.6328125" style="2733" customWidth="1"/>
    <col min="5" max="5" width="33.08984375" style="2706" customWidth="1"/>
    <col min="6" max="6" width="7.6328125" style="2706" customWidth="1"/>
    <col min="7" max="256" width="9" style="2706"/>
    <col min="257" max="257" width="10.6328125" style="2706" customWidth="1"/>
    <col min="258" max="258" width="14.26953125" style="2706" customWidth="1"/>
    <col min="259" max="259" width="20" style="2706" customWidth="1"/>
    <col min="260" max="260" width="2.6328125" style="2706" customWidth="1"/>
    <col min="261" max="261" width="33.08984375" style="2706" customWidth="1"/>
    <col min="262" max="262" width="7.6328125" style="2706" customWidth="1"/>
    <col min="263" max="512" width="9" style="2706"/>
    <col min="513" max="513" width="10.6328125" style="2706" customWidth="1"/>
    <col min="514" max="514" width="14.26953125" style="2706" customWidth="1"/>
    <col min="515" max="515" width="20" style="2706" customWidth="1"/>
    <col min="516" max="516" width="2.6328125" style="2706" customWidth="1"/>
    <col min="517" max="517" width="33.08984375" style="2706" customWidth="1"/>
    <col min="518" max="518" width="7.6328125" style="2706" customWidth="1"/>
    <col min="519" max="768" width="9" style="2706"/>
    <col min="769" max="769" width="10.6328125" style="2706" customWidth="1"/>
    <col min="770" max="770" width="14.26953125" style="2706" customWidth="1"/>
    <col min="771" max="771" width="20" style="2706" customWidth="1"/>
    <col min="772" max="772" width="2.6328125" style="2706" customWidth="1"/>
    <col min="773" max="773" width="33.08984375" style="2706" customWidth="1"/>
    <col min="774" max="774" width="7.6328125" style="2706" customWidth="1"/>
    <col min="775" max="1024" width="9" style="2706"/>
    <col min="1025" max="1025" width="10.6328125" style="2706" customWidth="1"/>
    <col min="1026" max="1026" width="14.26953125" style="2706" customWidth="1"/>
    <col min="1027" max="1027" width="20" style="2706" customWidth="1"/>
    <col min="1028" max="1028" width="2.6328125" style="2706" customWidth="1"/>
    <col min="1029" max="1029" width="33.08984375" style="2706" customWidth="1"/>
    <col min="1030" max="1030" width="7.6328125" style="2706" customWidth="1"/>
    <col min="1031" max="1280" width="9" style="2706"/>
    <col min="1281" max="1281" width="10.6328125" style="2706" customWidth="1"/>
    <col min="1282" max="1282" width="14.26953125" style="2706" customWidth="1"/>
    <col min="1283" max="1283" width="20" style="2706" customWidth="1"/>
    <col min="1284" max="1284" width="2.6328125" style="2706" customWidth="1"/>
    <col min="1285" max="1285" width="33.08984375" style="2706" customWidth="1"/>
    <col min="1286" max="1286" width="7.6328125" style="2706" customWidth="1"/>
    <col min="1287" max="1536" width="9" style="2706"/>
    <col min="1537" max="1537" width="10.6328125" style="2706" customWidth="1"/>
    <col min="1538" max="1538" width="14.26953125" style="2706" customWidth="1"/>
    <col min="1539" max="1539" width="20" style="2706" customWidth="1"/>
    <col min="1540" max="1540" width="2.6328125" style="2706" customWidth="1"/>
    <col min="1541" max="1541" width="33.08984375" style="2706" customWidth="1"/>
    <col min="1542" max="1542" width="7.6328125" style="2706" customWidth="1"/>
    <col min="1543" max="1792" width="9" style="2706"/>
    <col min="1793" max="1793" width="10.6328125" style="2706" customWidth="1"/>
    <col min="1794" max="1794" width="14.26953125" style="2706" customWidth="1"/>
    <col min="1795" max="1795" width="20" style="2706" customWidth="1"/>
    <col min="1796" max="1796" width="2.6328125" style="2706" customWidth="1"/>
    <col min="1797" max="1797" width="33.08984375" style="2706" customWidth="1"/>
    <col min="1798" max="1798" width="7.6328125" style="2706" customWidth="1"/>
    <col min="1799" max="2048" width="9" style="2706"/>
    <col min="2049" max="2049" width="10.6328125" style="2706" customWidth="1"/>
    <col min="2050" max="2050" width="14.26953125" style="2706" customWidth="1"/>
    <col min="2051" max="2051" width="20" style="2706" customWidth="1"/>
    <col min="2052" max="2052" width="2.6328125" style="2706" customWidth="1"/>
    <col min="2053" max="2053" width="33.08984375" style="2706" customWidth="1"/>
    <col min="2054" max="2054" width="7.6328125" style="2706" customWidth="1"/>
    <col min="2055" max="2304" width="9" style="2706"/>
    <col min="2305" max="2305" width="10.6328125" style="2706" customWidth="1"/>
    <col min="2306" max="2306" width="14.26953125" style="2706" customWidth="1"/>
    <col min="2307" max="2307" width="20" style="2706" customWidth="1"/>
    <col min="2308" max="2308" width="2.6328125" style="2706" customWidth="1"/>
    <col min="2309" max="2309" width="33.08984375" style="2706" customWidth="1"/>
    <col min="2310" max="2310" width="7.6328125" style="2706" customWidth="1"/>
    <col min="2311" max="2560" width="9" style="2706"/>
    <col min="2561" max="2561" width="10.6328125" style="2706" customWidth="1"/>
    <col min="2562" max="2562" width="14.26953125" style="2706" customWidth="1"/>
    <col min="2563" max="2563" width="20" style="2706" customWidth="1"/>
    <col min="2564" max="2564" width="2.6328125" style="2706" customWidth="1"/>
    <col min="2565" max="2565" width="33.08984375" style="2706" customWidth="1"/>
    <col min="2566" max="2566" width="7.6328125" style="2706" customWidth="1"/>
    <col min="2567" max="2816" width="9" style="2706"/>
    <col min="2817" max="2817" width="10.6328125" style="2706" customWidth="1"/>
    <col min="2818" max="2818" width="14.26953125" style="2706" customWidth="1"/>
    <col min="2819" max="2819" width="20" style="2706" customWidth="1"/>
    <col min="2820" max="2820" width="2.6328125" style="2706" customWidth="1"/>
    <col min="2821" max="2821" width="33.08984375" style="2706" customWidth="1"/>
    <col min="2822" max="2822" width="7.6328125" style="2706" customWidth="1"/>
    <col min="2823" max="3072" width="9" style="2706"/>
    <col min="3073" max="3073" width="10.6328125" style="2706" customWidth="1"/>
    <col min="3074" max="3074" width="14.26953125" style="2706" customWidth="1"/>
    <col min="3075" max="3075" width="20" style="2706" customWidth="1"/>
    <col min="3076" max="3076" width="2.6328125" style="2706" customWidth="1"/>
    <col min="3077" max="3077" width="33.08984375" style="2706" customWidth="1"/>
    <col min="3078" max="3078" width="7.6328125" style="2706" customWidth="1"/>
    <col min="3079" max="3328" width="9" style="2706"/>
    <col min="3329" max="3329" width="10.6328125" style="2706" customWidth="1"/>
    <col min="3330" max="3330" width="14.26953125" style="2706" customWidth="1"/>
    <col min="3331" max="3331" width="20" style="2706" customWidth="1"/>
    <col min="3332" max="3332" width="2.6328125" style="2706" customWidth="1"/>
    <col min="3333" max="3333" width="33.08984375" style="2706" customWidth="1"/>
    <col min="3334" max="3334" width="7.6328125" style="2706" customWidth="1"/>
    <col min="3335" max="3584" width="9" style="2706"/>
    <col min="3585" max="3585" width="10.6328125" style="2706" customWidth="1"/>
    <col min="3586" max="3586" width="14.26953125" style="2706" customWidth="1"/>
    <col min="3587" max="3587" width="20" style="2706" customWidth="1"/>
    <col min="3588" max="3588" width="2.6328125" style="2706" customWidth="1"/>
    <col min="3589" max="3589" width="33.08984375" style="2706" customWidth="1"/>
    <col min="3590" max="3590" width="7.6328125" style="2706" customWidth="1"/>
    <col min="3591" max="3840" width="9" style="2706"/>
    <col min="3841" max="3841" width="10.6328125" style="2706" customWidth="1"/>
    <col min="3842" max="3842" width="14.26953125" style="2706" customWidth="1"/>
    <col min="3843" max="3843" width="20" style="2706" customWidth="1"/>
    <col min="3844" max="3844" width="2.6328125" style="2706" customWidth="1"/>
    <col min="3845" max="3845" width="33.08984375" style="2706" customWidth="1"/>
    <col min="3846" max="3846" width="7.6328125" style="2706" customWidth="1"/>
    <col min="3847" max="4096" width="9" style="2706"/>
    <col min="4097" max="4097" width="10.6328125" style="2706" customWidth="1"/>
    <col min="4098" max="4098" width="14.26953125" style="2706" customWidth="1"/>
    <col min="4099" max="4099" width="20" style="2706" customWidth="1"/>
    <col min="4100" max="4100" width="2.6328125" style="2706" customWidth="1"/>
    <col min="4101" max="4101" width="33.08984375" style="2706" customWidth="1"/>
    <col min="4102" max="4102" width="7.6328125" style="2706" customWidth="1"/>
    <col min="4103" max="4352" width="9" style="2706"/>
    <col min="4353" max="4353" width="10.6328125" style="2706" customWidth="1"/>
    <col min="4354" max="4354" width="14.26953125" style="2706" customWidth="1"/>
    <col min="4355" max="4355" width="20" style="2706" customWidth="1"/>
    <col min="4356" max="4356" width="2.6328125" style="2706" customWidth="1"/>
    <col min="4357" max="4357" width="33.08984375" style="2706" customWidth="1"/>
    <col min="4358" max="4358" width="7.6328125" style="2706" customWidth="1"/>
    <col min="4359" max="4608" width="9" style="2706"/>
    <col min="4609" max="4609" width="10.6328125" style="2706" customWidth="1"/>
    <col min="4610" max="4610" width="14.26953125" style="2706" customWidth="1"/>
    <col min="4611" max="4611" width="20" style="2706" customWidth="1"/>
    <col min="4612" max="4612" width="2.6328125" style="2706" customWidth="1"/>
    <col min="4613" max="4613" width="33.08984375" style="2706" customWidth="1"/>
    <col min="4614" max="4614" width="7.6328125" style="2706" customWidth="1"/>
    <col min="4615" max="4864" width="9" style="2706"/>
    <col min="4865" max="4865" width="10.6328125" style="2706" customWidth="1"/>
    <col min="4866" max="4866" width="14.26953125" style="2706" customWidth="1"/>
    <col min="4867" max="4867" width="20" style="2706" customWidth="1"/>
    <col min="4868" max="4868" width="2.6328125" style="2706" customWidth="1"/>
    <col min="4869" max="4869" width="33.08984375" style="2706" customWidth="1"/>
    <col min="4870" max="4870" width="7.6328125" style="2706" customWidth="1"/>
    <col min="4871" max="5120" width="9" style="2706"/>
    <col min="5121" max="5121" width="10.6328125" style="2706" customWidth="1"/>
    <col min="5122" max="5122" width="14.26953125" style="2706" customWidth="1"/>
    <col min="5123" max="5123" width="20" style="2706" customWidth="1"/>
    <col min="5124" max="5124" width="2.6328125" style="2706" customWidth="1"/>
    <col min="5125" max="5125" width="33.08984375" style="2706" customWidth="1"/>
    <col min="5126" max="5126" width="7.6328125" style="2706" customWidth="1"/>
    <col min="5127" max="5376" width="9" style="2706"/>
    <col min="5377" max="5377" width="10.6328125" style="2706" customWidth="1"/>
    <col min="5378" max="5378" width="14.26953125" style="2706" customWidth="1"/>
    <col min="5379" max="5379" width="20" style="2706" customWidth="1"/>
    <col min="5380" max="5380" width="2.6328125" style="2706" customWidth="1"/>
    <col min="5381" max="5381" width="33.08984375" style="2706" customWidth="1"/>
    <col min="5382" max="5382" width="7.6328125" style="2706" customWidth="1"/>
    <col min="5383" max="5632" width="9" style="2706"/>
    <col min="5633" max="5633" width="10.6328125" style="2706" customWidth="1"/>
    <col min="5634" max="5634" width="14.26953125" style="2706" customWidth="1"/>
    <col min="5635" max="5635" width="20" style="2706" customWidth="1"/>
    <col min="5636" max="5636" width="2.6328125" style="2706" customWidth="1"/>
    <col min="5637" max="5637" width="33.08984375" style="2706" customWidth="1"/>
    <col min="5638" max="5638" width="7.6328125" style="2706" customWidth="1"/>
    <col min="5639" max="5888" width="9" style="2706"/>
    <col min="5889" max="5889" width="10.6328125" style="2706" customWidth="1"/>
    <col min="5890" max="5890" width="14.26953125" style="2706" customWidth="1"/>
    <col min="5891" max="5891" width="20" style="2706" customWidth="1"/>
    <col min="5892" max="5892" width="2.6328125" style="2706" customWidth="1"/>
    <col min="5893" max="5893" width="33.08984375" style="2706" customWidth="1"/>
    <col min="5894" max="5894" width="7.6328125" style="2706" customWidth="1"/>
    <col min="5895" max="6144" width="9" style="2706"/>
    <col min="6145" max="6145" width="10.6328125" style="2706" customWidth="1"/>
    <col min="6146" max="6146" width="14.26953125" style="2706" customWidth="1"/>
    <col min="6147" max="6147" width="20" style="2706" customWidth="1"/>
    <col min="6148" max="6148" width="2.6328125" style="2706" customWidth="1"/>
    <col min="6149" max="6149" width="33.08984375" style="2706" customWidth="1"/>
    <col min="6150" max="6150" width="7.6328125" style="2706" customWidth="1"/>
    <col min="6151" max="6400" width="9" style="2706"/>
    <col min="6401" max="6401" width="10.6328125" style="2706" customWidth="1"/>
    <col min="6402" max="6402" width="14.26953125" style="2706" customWidth="1"/>
    <col min="6403" max="6403" width="20" style="2706" customWidth="1"/>
    <col min="6404" max="6404" width="2.6328125" style="2706" customWidth="1"/>
    <col min="6405" max="6405" width="33.08984375" style="2706" customWidth="1"/>
    <col min="6406" max="6406" width="7.6328125" style="2706" customWidth="1"/>
    <col min="6407" max="6656" width="9" style="2706"/>
    <col min="6657" max="6657" width="10.6328125" style="2706" customWidth="1"/>
    <col min="6658" max="6658" width="14.26953125" style="2706" customWidth="1"/>
    <col min="6659" max="6659" width="20" style="2706" customWidth="1"/>
    <col min="6660" max="6660" width="2.6328125" style="2706" customWidth="1"/>
    <col min="6661" max="6661" width="33.08984375" style="2706" customWidth="1"/>
    <col min="6662" max="6662" width="7.6328125" style="2706" customWidth="1"/>
    <col min="6663" max="6912" width="9" style="2706"/>
    <col min="6913" max="6913" width="10.6328125" style="2706" customWidth="1"/>
    <col min="6914" max="6914" width="14.26953125" style="2706" customWidth="1"/>
    <col min="6915" max="6915" width="20" style="2706" customWidth="1"/>
    <col min="6916" max="6916" width="2.6328125" style="2706" customWidth="1"/>
    <col min="6917" max="6917" width="33.08984375" style="2706" customWidth="1"/>
    <col min="6918" max="6918" width="7.6328125" style="2706" customWidth="1"/>
    <col min="6919" max="7168" width="9" style="2706"/>
    <col min="7169" max="7169" width="10.6328125" style="2706" customWidth="1"/>
    <col min="7170" max="7170" width="14.26953125" style="2706" customWidth="1"/>
    <col min="7171" max="7171" width="20" style="2706" customWidth="1"/>
    <col min="7172" max="7172" width="2.6328125" style="2706" customWidth="1"/>
    <col min="7173" max="7173" width="33.08984375" style="2706" customWidth="1"/>
    <col min="7174" max="7174" width="7.6328125" style="2706" customWidth="1"/>
    <col min="7175" max="7424" width="9" style="2706"/>
    <col min="7425" max="7425" width="10.6328125" style="2706" customWidth="1"/>
    <col min="7426" max="7426" width="14.26953125" style="2706" customWidth="1"/>
    <col min="7427" max="7427" width="20" style="2706" customWidth="1"/>
    <col min="7428" max="7428" width="2.6328125" style="2706" customWidth="1"/>
    <col min="7429" max="7429" width="33.08984375" style="2706" customWidth="1"/>
    <col min="7430" max="7430" width="7.6328125" style="2706" customWidth="1"/>
    <col min="7431" max="7680" width="9" style="2706"/>
    <col min="7681" max="7681" width="10.6328125" style="2706" customWidth="1"/>
    <col min="7682" max="7682" width="14.26953125" style="2706" customWidth="1"/>
    <col min="7683" max="7683" width="20" style="2706" customWidth="1"/>
    <col min="7684" max="7684" width="2.6328125" style="2706" customWidth="1"/>
    <col min="7685" max="7685" width="33.08984375" style="2706" customWidth="1"/>
    <col min="7686" max="7686" width="7.6328125" style="2706" customWidth="1"/>
    <col min="7687" max="7936" width="9" style="2706"/>
    <col min="7937" max="7937" width="10.6328125" style="2706" customWidth="1"/>
    <col min="7938" max="7938" width="14.26953125" style="2706" customWidth="1"/>
    <col min="7939" max="7939" width="20" style="2706" customWidth="1"/>
    <col min="7940" max="7940" width="2.6328125" style="2706" customWidth="1"/>
    <col min="7941" max="7941" width="33.08984375" style="2706" customWidth="1"/>
    <col min="7942" max="7942" width="7.6328125" style="2706" customWidth="1"/>
    <col min="7943" max="8192" width="9" style="2706"/>
    <col min="8193" max="8193" width="10.6328125" style="2706" customWidth="1"/>
    <col min="8194" max="8194" width="14.26953125" style="2706" customWidth="1"/>
    <col min="8195" max="8195" width="20" style="2706" customWidth="1"/>
    <col min="8196" max="8196" width="2.6328125" style="2706" customWidth="1"/>
    <col min="8197" max="8197" width="33.08984375" style="2706" customWidth="1"/>
    <col min="8198" max="8198" width="7.6328125" style="2706" customWidth="1"/>
    <col min="8199" max="8448" width="9" style="2706"/>
    <col min="8449" max="8449" width="10.6328125" style="2706" customWidth="1"/>
    <col min="8450" max="8450" width="14.26953125" style="2706" customWidth="1"/>
    <col min="8451" max="8451" width="20" style="2706" customWidth="1"/>
    <col min="8452" max="8452" width="2.6328125" style="2706" customWidth="1"/>
    <col min="8453" max="8453" width="33.08984375" style="2706" customWidth="1"/>
    <col min="8454" max="8454" width="7.6328125" style="2706" customWidth="1"/>
    <col min="8455" max="8704" width="9" style="2706"/>
    <col min="8705" max="8705" width="10.6328125" style="2706" customWidth="1"/>
    <col min="8706" max="8706" width="14.26953125" style="2706" customWidth="1"/>
    <col min="8707" max="8707" width="20" style="2706" customWidth="1"/>
    <col min="8708" max="8708" width="2.6328125" style="2706" customWidth="1"/>
    <col min="8709" max="8709" width="33.08984375" style="2706" customWidth="1"/>
    <col min="8710" max="8710" width="7.6328125" style="2706" customWidth="1"/>
    <col min="8711" max="8960" width="9" style="2706"/>
    <col min="8961" max="8961" width="10.6328125" style="2706" customWidth="1"/>
    <col min="8962" max="8962" width="14.26953125" style="2706" customWidth="1"/>
    <col min="8963" max="8963" width="20" style="2706" customWidth="1"/>
    <col min="8964" max="8964" width="2.6328125" style="2706" customWidth="1"/>
    <col min="8965" max="8965" width="33.08984375" style="2706" customWidth="1"/>
    <col min="8966" max="8966" width="7.6328125" style="2706" customWidth="1"/>
    <col min="8967" max="9216" width="9" style="2706"/>
    <col min="9217" max="9217" width="10.6328125" style="2706" customWidth="1"/>
    <col min="9218" max="9218" width="14.26953125" style="2706" customWidth="1"/>
    <col min="9219" max="9219" width="20" style="2706" customWidth="1"/>
    <col min="9220" max="9220" width="2.6328125" style="2706" customWidth="1"/>
    <col min="9221" max="9221" width="33.08984375" style="2706" customWidth="1"/>
    <col min="9222" max="9222" width="7.6328125" style="2706" customWidth="1"/>
    <col min="9223" max="9472" width="9" style="2706"/>
    <col min="9473" max="9473" width="10.6328125" style="2706" customWidth="1"/>
    <col min="9474" max="9474" width="14.26953125" style="2706" customWidth="1"/>
    <col min="9475" max="9475" width="20" style="2706" customWidth="1"/>
    <col min="9476" max="9476" width="2.6328125" style="2706" customWidth="1"/>
    <col min="9477" max="9477" width="33.08984375" style="2706" customWidth="1"/>
    <col min="9478" max="9478" width="7.6328125" style="2706" customWidth="1"/>
    <col min="9479" max="9728" width="9" style="2706"/>
    <col min="9729" max="9729" width="10.6328125" style="2706" customWidth="1"/>
    <col min="9730" max="9730" width="14.26953125" style="2706" customWidth="1"/>
    <col min="9731" max="9731" width="20" style="2706" customWidth="1"/>
    <col min="9732" max="9732" width="2.6328125" style="2706" customWidth="1"/>
    <col min="9733" max="9733" width="33.08984375" style="2706" customWidth="1"/>
    <col min="9734" max="9734" width="7.6328125" style="2706" customWidth="1"/>
    <col min="9735" max="9984" width="9" style="2706"/>
    <col min="9985" max="9985" width="10.6328125" style="2706" customWidth="1"/>
    <col min="9986" max="9986" width="14.26953125" style="2706" customWidth="1"/>
    <col min="9987" max="9987" width="20" style="2706" customWidth="1"/>
    <col min="9988" max="9988" width="2.6328125" style="2706" customWidth="1"/>
    <col min="9989" max="9989" width="33.08984375" style="2706" customWidth="1"/>
    <col min="9990" max="9990" width="7.6328125" style="2706" customWidth="1"/>
    <col min="9991" max="10240" width="9" style="2706"/>
    <col min="10241" max="10241" width="10.6328125" style="2706" customWidth="1"/>
    <col min="10242" max="10242" width="14.26953125" style="2706" customWidth="1"/>
    <col min="10243" max="10243" width="20" style="2706" customWidth="1"/>
    <col min="10244" max="10244" width="2.6328125" style="2706" customWidth="1"/>
    <col min="10245" max="10245" width="33.08984375" style="2706" customWidth="1"/>
    <col min="10246" max="10246" width="7.6328125" style="2706" customWidth="1"/>
    <col min="10247" max="10496" width="9" style="2706"/>
    <col min="10497" max="10497" width="10.6328125" style="2706" customWidth="1"/>
    <col min="10498" max="10498" width="14.26953125" style="2706" customWidth="1"/>
    <col min="10499" max="10499" width="20" style="2706" customWidth="1"/>
    <col min="10500" max="10500" width="2.6328125" style="2706" customWidth="1"/>
    <col min="10501" max="10501" width="33.08984375" style="2706" customWidth="1"/>
    <col min="10502" max="10502" width="7.6328125" style="2706" customWidth="1"/>
    <col min="10503" max="10752" width="9" style="2706"/>
    <col min="10753" max="10753" width="10.6328125" style="2706" customWidth="1"/>
    <col min="10754" max="10754" width="14.26953125" style="2706" customWidth="1"/>
    <col min="10755" max="10755" width="20" style="2706" customWidth="1"/>
    <col min="10756" max="10756" width="2.6328125" style="2706" customWidth="1"/>
    <col min="10757" max="10757" width="33.08984375" style="2706" customWidth="1"/>
    <col min="10758" max="10758" width="7.6328125" style="2706" customWidth="1"/>
    <col min="10759" max="11008" width="9" style="2706"/>
    <col min="11009" max="11009" width="10.6328125" style="2706" customWidth="1"/>
    <col min="11010" max="11010" width="14.26953125" style="2706" customWidth="1"/>
    <col min="11011" max="11011" width="20" style="2706" customWidth="1"/>
    <col min="11012" max="11012" width="2.6328125" style="2706" customWidth="1"/>
    <col min="11013" max="11013" width="33.08984375" style="2706" customWidth="1"/>
    <col min="11014" max="11014" width="7.6328125" style="2706" customWidth="1"/>
    <col min="11015" max="11264" width="9" style="2706"/>
    <col min="11265" max="11265" width="10.6328125" style="2706" customWidth="1"/>
    <col min="11266" max="11266" width="14.26953125" style="2706" customWidth="1"/>
    <col min="11267" max="11267" width="20" style="2706" customWidth="1"/>
    <col min="11268" max="11268" width="2.6328125" style="2706" customWidth="1"/>
    <col min="11269" max="11269" width="33.08984375" style="2706" customWidth="1"/>
    <col min="11270" max="11270" width="7.6328125" style="2706" customWidth="1"/>
    <col min="11271" max="11520" width="9" style="2706"/>
    <col min="11521" max="11521" width="10.6328125" style="2706" customWidth="1"/>
    <col min="11522" max="11522" width="14.26953125" style="2706" customWidth="1"/>
    <col min="11523" max="11523" width="20" style="2706" customWidth="1"/>
    <col min="11524" max="11524" width="2.6328125" style="2706" customWidth="1"/>
    <col min="11525" max="11525" width="33.08984375" style="2706" customWidth="1"/>
    <col min="11526" max="11526" width="7.6328125" style="2706" customWidth="1"/>
    <col min="11527" max="11776" width="9" style="2706"/>
    <col min="11777" max="11777" width="10.6328125" style="2706" customWidth="1"/>
    <col min="11778" max="11778" width="14.26953125" style="2706" customWidth="1"/>
    <col min="11779" max="11779" width="20" style="2706" customWidth="1"/>
    <col min="11780" max="11780" width="2.6328125" style="2706" customWidth="1"/>
    <col min="11781" max="11781" width="33.08984375" style="2706" customWidth="1"/>
    <col min="11782" max="11782" width="7.6328125" style="2706" customWidth="1"/>
    <col min="11783" max="12032" width="9" style="2706"/>
    <col min="12033" max="12033" width="10.6328125" style="2706" customWidth="1"/>
    <col min="12034" max="12034" width="14.26953125" style="2706" customWidth="1"/>
    <col min="12035" max="12035" width="20" style="2706" customWidth="1"/>
    <col min="12036" max="12036" width="2.6328125" style="2706" customWidth="1"/>
    <col min="12037" max="12037" width="33.08984375" style="2706" customWidth="1"/>
    <col min="12038" max="12038" width="7.6328125" style="2706" customWidth="1"/>
    <col min="12039" max="12288" width="9" style="2706"/>
    <col min="12289" max="12289" width="10.6328125" style="2706" customWidth="1"/>
    <col min="12290" max="12290" width="14.26953125" style="2706" customWidth="1"/>
    <col min="12291" max="12291" width="20" style="2706" customWidth="1"/>
    <col min="12292" max="12292" width="2.6328125" style="2706" customWidth="1"/>
    <col min="12293" max="12293" width="33.08984375" style="2706" customWidth="1"/>
    <col min="12294" max="12294" width="7.6328125" style="2706" customWidth="1"/>
    <col min="12295" max="12544" width="9" style="2706"/>
    <col min="12545" max="12545" width="10.6328125" style="2706" customWidth="1"/>
    <col min="12546" max="12546" width="14.26953125" style="2706" customWidth="1"/>
    <col min="12547" max="12547" width="20" style="2706" customWidth="1"/>
    <col min="12548" max="12548" width="2.6328125" style="2706" customWidth="1"/>
    <col min="12549" max="12549" width="33.08984375" style="2706" customWidth="1"/>
    <col min="12550" max="12550" width="7.6328125" style="2706" customWidth="1"/>
    <col min="12551" max="12800" width="9" style="2706"/>
    <col min="12801" max="12801" width="10.6328125" style="2706" customWidth="1"/>
    <col min="12802" max="12802" width="14.26953125" style="2706" customWidth="1"/>
    <col min="12803" max="12803" width="20" style="2706" customWidth="1"/>
    <col min="12804" max="12804" width="2.6328125" style="2706" customWidth="1"/>
    <col min="12805" max="12805" width="33.08984375" style="2706" customWidth="1"/>
    <col min="12806" max="12806" width="7.6328125" style="2706" customWidth="1"/>
    <col min="12807" max="13056" width="9" style="2706"/>
    <col min="13057" max="13057" width="10.6328125" style="2706" customWidth="1"/>
    <col min="13058" max="13058" width="14.26953125" style="2706" customWidth="1"/>
    <col min="13059" max="13059" width="20" style="2706" customWidth="1"/>
    <col min="13060" max="13060" width="2.6328125" style="2706" customWidth="1"/>
    <col min="13061" max="13061" width="33.08984375" style="2706" customWidth="1"/>
    <col min="13062" max="13062" width="7.6328125" style="2706" customWidth="1"/>
    <col min="13063" max="13312" width="9" style="2706"/>
    <col min="13313" max="13313" width="10.6328125" style="2706" customWidth="1"/>
    <col min="13314" max="13314" width="14.26953125" style="2706" customWidth="1"/>
    <col min="13315" max="13315" width="20" style="2706" customWidth="1"/>
    <col min="13316" max="13316" width="2.6328125" style="2706" customWidth="1"/>
    <col min="13317" max="13317" width="33.08984375" style="2706" customWidth="1"/>
    <col min="13318" max="13318" width="7.6328125" style="2706" customWidth="1"/>
    <col min="13319" max="13568" width="9" style="2706"/>
    <col min="13569" max="13569" width="10.6328125" style="2706" customWidth="1"/>
    <col min="13570" max="13570" width="14.26953125" style="2706" customWidth="1"/>
    <col min="13571" max="13571" width="20" style="2706" customWidth="1"/>
    <col min="13572" max="13572" width="2.6328125" style="2706" customWidth="1"/>
    <col min="13573" max="13573" width="33.08984375" style="2706" customWidth="1"/>
    <col min="13574" max="13574" width="7.6328125" style="2706" customWidth="1"/>
    <col min="13575" max="13824" width="9" style="2706"/>
    <col min="13825" max="13825" width="10.6328125" style="2706" customWidth="1"/>
    <col min="13826" max="13826" width="14.26953125" style="2706" customWidth="1"/>
    <col min="13827" max="13827" width="20" style="2706" customWidth="1"/>
    <col min="13828" max="13828" width="2.6328125" style="2706" customWidth="1"/>
    <col min="13829" max="13829" width="33.08984375" style="2706" customWidth="1"/>
    <col min="13830" max="13830" width="7.6328125" style="2706" customWidth="1"/>
    <col min="13831" max="14080" width="9" style="2706"/>
    <col min="14081" max="14081" width="10.6328125" style="2706" customWidth="1"/>
    <col min="14082" max="14082" width="14.26953125" style="2706" customWidth="1"/>
    <col min="14083" max="14083" width="20" style="2706" customWidth="1"/>
    <col min="14084" max="14084" width="2.6328125" style="2706" customWidth="1"/>
    <col min="14085" max="14085" width="33.08984375" style="2706" customWidth="1"/>
    <col min="14086" max="14086" width="7.6328125" style="2706" customWidth="1"/>
    <col min="14087" max="14336" width="9" style="2706"/>
    <col min="14337" max="14337" width="10.6328125" style="2706" customWidth="1"/>
    <col min="14338" max="14338" width="14.26953125" style="2706" customWidth="1"/>
    <col min="14339" max="14339" width="20" style="2706" customWidth="1"/>
    <col min="14340" max="14340" width="2.6328125" style="2706" customWidth="1"/>
    <col min="14341" max="14341" width="33.08984375" style="2706" customWidth="1"/>
    <col min="14342" max="14342" width="7.6328125" style="2706" customWidth="1"/>
    <col min="14343" max="14592" width="9" style="2706"/>
    <col min="14593" max="14593" width="10.6328125" style="2706" customWidth="1"/>
    <col min="14594" max="14594" width="14.26953125" style="2706" customWidth="1"/>
    <col min="14595" max="14595" width="20" style="2706" customWidth="1"/>
    <col min="14596" max="14596" width="2.6328125" style="2706" customWidth="1"/>
    <col min="14597" max="14597" width="33.08984375" style="2706" customWidth="1"/>
    <col min="14598" max="14598" width="7.6328125" style="2706" customWidth="1"/>
    <col min="14599" max="14848" width="9" style="2706"/>
    <col min="14849" max="14849" width="10.6328125" style="2706" customWidth="1"/>
    <col min="14850" max="14850" width="14.26953125" style="2706" customWidth="1"/>
    <col min="14851" max="14851" width="20" style="2706" customWidth="1"/>
    <col min="14852" max="14852" width="2.6328125" style="2706" customWidth="1"/>
    <col min="14853" max="14853" width="33.08984375" style="2706" customWidth="1"/>
    <col min="14854" max="14854" width="7.6328125" style="2706" customWidth="1"/>
    <col min="14855" max="15104" width="9" style="2706"/>
    <col min="15105" max="15105" width="10.6328125" style="2706" customWidth="1"/>
    <col min="15106" max="15106" width="14.26953125" style="2706" customWidth="1"/>
    <col min="15107" max="15107" width="20" style="2706" customWidth="1"/>
    <col min="15108" max="15108" width="2.6328125" style="2706" customWidth="1"/>
    <col min="15109" max="15109" width="33.08984375" style="2706" customWidth="1"/>
    <col min="15110" max="15110" width="7.6328125" style="2706" customWidth="1"/>
    <col min="15111" max="15360" width="9" style="2706"/>
    <col min="15361" max="15361" width="10.6328125" style="2706" customWidth="1"/>
    <col min="15362" max="15362" width="14.26953125" style="2706" customWidth="1"/>
    <col min="15363" max="15363" width="20" style="2706" customWidth="1"/>
    <col min="15364" max="15364" width="2.6328125" style="2706" customWidth="1"/>
    <col min="15365" max="15365" width="33.08984375" style="2706" customWidth="1"/>
    <col min="15366" max="15366" width="7.6328125" style="2706" customWidth="1"/>
    <col min="15367" max="15616" width="9" style="2706"/>
    <col min="15617" max="15617" width="10.6328125" style="2706" customWidth="1"/>
    <col min="15618" max="15618" width="14.26953125" style="2706" customWidth="1"/>
    <col min="15619" max="15619" width="20" style="2706" customWidth="1"/>
    <col min="15620" max="15620" width="2.6328125" style="2706" customWidth="1"/>
    <col min="15621" max="15621" width="33.08984375" style="2706" customWidth="1"/>
    <col min="15622" max="15622" width="7.6328125" style="2706" customWidth="1"/>
    <col min="15623" max="15872" width="9" style="2706"/>
    <col min="15873" max="15873" width="10.6328125" style="2706" customWidth="1"/>
    <col min="15874" max="15874" width="14.26953125" style="2706" customWidth="1"/>
    <col min="15875" max="15875" width="20" style="2706" customWidth="1"/>
    <col min="15876" max="15876" width="2.6328125" style="2706" customWidth="1"/>
    <col min="15877" max="15877" width="33.08984375" style="2706" customWidth="1"/>
    <col min="15878" max="15878" width="7.6328125" style="2706" customWidth="1"/>
    <col min="15879" max="16128" width="9" style="2706"/>
    <col min="16129" max="16129" width="10.6328125" style="2706" customWidth="1"/>
    <col min="16130" max="16130" width="14.26953125" style="2706" customWidth="1"/>
    <col min="16131" max="16131" width="20" style="2706" customWidth="1"/>
    <col min="16132" max="16132" width="2.6328125" style="2706" customWidth="1"/>
    <col min="16133" max="16133" width="33.08984375" style="2706" customWidth="1"/>
    <col min="16134" max="16134" width="7.6328125" style="2706" customWidth="1"/>
    <col min="16135" max="16384" width="9" style="2706"/>
  </cols>
  <sheetData>
    <row r="1" spans="1:6" s="2698" customFormat="1" ht="16.5">
      <c r="A1" s="2698" t="s">
        <v>2178</v>
      </c>
      <c r="D1" s="2699"/>
    </row>
    <row r="2" spans="1:6" s="2700" customFormat="1" ht="13.5" customHeight="1">
      <c r="D2" s="2701"/>
    </row>
    <row r="3" spans="1:6" s="2700" customFormat="1" ht="13.5" customHeight="1">
      <c r="A3" s="2700" t="s">
        <v>1905</v>
      </c>
      <c r="D3" s="2701"/>
    </row>
    <row r="4" spans="1:6" s="2700" customFormat="1" ht="13.5" customHeight="1">
      <c r="A4" s="2702" t="s">
        <v>1906</v>
      </c>
      <c r="B4" s="2702"/>
      <c r="C4" s="2702"/>
      <c r="D4" s="2702"/>
      <c r="E4" s="2702"/>
      <c r="F4" s="2702"/>
    </row>
    <row r="5" spans="1:6" s="2700" customFormat="1" ht="13.5" customHeight="1">
      <c r="A5" s="2702"/>
      <c r="B5" s="2702"/>
      <c r="C5" s="2702"/>
      <c r="D5" s="2702"/>
      <c r="E5" s="2702"/>
      <c r="F5" s="2702"/>
    </row>
    <row r="6" spans="1:6" ht="13.5" customHeight="1">
      <c r="A6" s="2703"/>
      <c r="B6" s="2703"/>
      <c r="C6" s="2703"/>
      <c r="D6" s="2704"/>
      <c r="E6" s="2703"/>
      <c r="F6" s="2705"/>
    </row>
    <row r="7" spans="1:6" s="2700" customFormat="1" ht="13.5" customHeight="1">
      <c r="A7" s="2707" t="s">
        <v>1907</v>
      </c>
      <c r="B7" s="2708"/>
      <c r="C7" s="2709" t="s">
        <v>1908</v>
      </c>
      <c r="D7" s="2707" t="s">
        <v>1909</v>
      </c>
      <c r="E7" s="2708"/>
      <c r="F7" s="2710" t="s">
        <v>1303</v>
      </c>
    </row>
    <row r="8" spans="1:6" ht="13.5" customHeight="1">
      <c r="A8" s="2711" t="s">
        <v>1910</v>
      </c>
      <c r="B8" s="2711" t="s">
        <v>1910</v>
      </c>
      <c r="C8" s="2712" t="s">
        <v>1911</v>
      </c>
      <c r="D8" s="2713" t="s">
        <v>1912</v>
      </c>
      <c r="E8" s="2714" t="s">
        <v>1913</v>
      </c>
      <c r="F8" s="2715" t="s">
        <v>1914</v>
      </c>
    </row>
    <row r="9" spans="1:6" ht="13.5" customHeight="1">
      <c r="A9" s="2716"/>
      <c r="B9" s="2716"/>
      <c r="C9" s="2717"/>
      <c r="D9" s="2718"/>
      <c r="E9" s="2719"/>
      <c r="F9" s="2720" t="s">
        <v>1915</v>
      </c>
    </row>
    <row r="10" spans="1:6" ht="13.5" customHeight="1">
      <c r="A10" s="2716"/>
      <c r="B10" s="2711" t="s">
        <v>1916</v>
      </c>
      <c r="C10" s="2711" t="s">
        <v>1917</v>
      </c>
      <c r="D10" s="2713" t="s">
        <v>1912</v>
      </c>
      <c r="E10" s="2714" t="s">
        <v>1921</v>
      </c>
      <c r="F10" s="2721"/>
    </row>
    <row r="11" spans="1:6" ht="13.5" customHeight="1">
      <c r="A11" s="2716"/>
      <c r="B11" s="2716"/>
      <c r="C11" s="2716"/>
      <c r="D11" s="2718"/>
      <c r="E11" s="2719"/>
      <c r="F11" s="2722" t="s">
        <v>1914</v>
      </c>
    </row>
    <row r="12" spans="1:6" ht="13.5" customHeight="1">
      <c r="A12" s="2716"/>
      <c r="B12" s="2716"/>
      <c r="C12" s="2716"/>
      <c r="D12" s="2718" t="s">
        <v>1912</v>
      </c>
      <c r="E12" s="2719" t="s">
        <v>1918</v>
      </c>
      <c r="F12" s="2722" t="s">
        <v>2179</v>
      </c>
    </row>
    <row r="13" spans="1:6" ht="13.5" customHeight="1">
      <c r="A13" s="2716"/>
      <c r="B13" s="2716"/>
      <c r="C13" s="2716"/>
      <c r="D13" s="2718"/>
      <c r="E13" s="2719"/>
      <c r="F13" s="2723"/>
    </row>
    <row r="14" spans="1:6" ht="13.5" customHeight="1">
      <c r="A14" s="2716"/>
      <c r="B14" s="2711" t="s">
        <v>1919</v>
      </c>
      <c r="C14" s="2711" t="s">
        <v>1920</v>
      </c>
      <c r="D14" s="2713" t="s">
        <v>1912</v>
      </c>
      <c r="E14" s="2714" t="s">
        <v>1921</v>
      </c>
      <c r="F14" s="2721"/>
    </row>
    <row r="15" spans="1:6" ht="13.5" customHeight="1">
      <c r="A15" s="2716"/>
      <c r="B15" s="2716"/>
      <c r="C15" s="2716"/>
      <c r="D15" s="2718"/>
      <c r="E15" s="2719"/>
      <c r="F15" s="2715"/>
    </row>
    <row r="16" spans="1:6" ht="13.5" customHeight="1">
      <c r="A16" s="2716"/>
      <c r="B16" s="2716"/>
      <c r="C16" s="2716"/>
      <c r="D16" s="2718" t="s">
        <v>1912</v>
      </c>
      <c r="E16" s="2719" t="s">
        <v>2180</v>
      </c>
      <c r="F16" s="2723"/>
    </row>
    <row r="17" spans="1:6" ht="13.5" customHeight="1">
      <c r="A17" s="2716"/>
      <c r="B17" s="2716"/>
      <c r="C17" s="2716"/>
      <c r="D17" s="2718"/>
      <c r="E17" s="2719"/>
      <c r="F17" s="2724"/>
    </row>
    <row r="18" spans="1:6" ht="13.5" customHeight="1">
      <c r="A18" s="2716"/>
      <c r="B18" s="2716"/>
      <c r="C18" s="2716"/>
      <c r="D18" s="2718"/>
      <c r="E18" s="2719"/>
      <c r="F18" s="2720"/>
    </row>
    <row r="19" spans="1:6" ht="13.5" customHeight="1">
      <c r="A19" s="2716"/>
      <c r="B19" s="2716"/>
      <c r="C19" s="2716"/>
      <c r="D19" s="2718" t="s">
        <v>1912</v>
      </c>
      <c r="E19" s="2719" t="s">
        <v>1922</v>
      </c>
      <c r="F19" s="2723"/>
    </row>
    <row r="20" spans="1:6" ht="13.5" customHeight="1">
      <c r="A20" s="2716"/>
      <c r="B20" s="2716"/>
      <c r="C20" s="2716"/>
      <c r="D20" s="2718"/>
      <c r="E20" s="2719"/>
      <c r="F20" s="2724"/>
    </row>
    <row r="21" spans="1:6" ht="13.5" customHeight="1">
      <c r="A21" s="2716"/>
      <c r="B21" s="2716"/>
      <c r="C21" s="2716"/>
      <c r="D21" s="2718"/>
      <c r="E21" s="2719"/>
      <c r="F21" s="2720"/>
    </row>
    <row r="22" spans="1:6" ht="13.5" customHeight="1">
      <c r="A22" s="2716"/>
      <c r="B22" s="2716"/>
      <c r="C22" s="2716"/>
      <c r="D22" s="2718" t="s">
        <v>1912</v>
      </c>
      <c r="E22" s="2719" t="s">
        <v>2181</v>
      </c>
      <c r="F22" s="2722" t="s">
        <v>1923</v>
      </c>
    </row>
    <row r="23" spans="1:6" ht="13.5" customHeight="1">
      <c r="A23" s="2716"/>
      <c r="B23" s="2716"/>
      <c r="C23" s="2716"/>
      <c r="D23" s="2718"/>
      <c r="E23" s="2719"/>
      <c r="F23" s="2722" t="s">
        <v>1914</v>
      </c>
    </row>
    <row r="24" spans="1:6" ht="13.5" customHeight="1">
      <c r="A24" s="2716"/>
      <c r="B24" s="2716"/>
      <c r="C24" s="2716"/>
      <c r="D24" s="2718"/>
      <c r="E24" s="2719"/>
      <c r="F24" s="2720"/>
    </row>
    <row r="25" spans="1:6" ht="13.5" customHeight="1">
      <c r="A25" s="2716"/>
      <c r="B25" s="2716"/>
      <c r="C25" s="2716"/>
      <c r="D25" s="2718" t="s">
        <v>1912</v>
      </c>
      <c r="E25" s="2719" t="s">
        <v>2182</v>
      </c>
      <c r="F25" s="2723"/>
    </row>
    <row r="26" spans="1:6" ht="13.5" customHeight="1">
      <c r="A26" s="2716"/>
      <c r="B26" s="2716"/>
      <c r="C26" s="2716"/>
      <c r="D26" s="2718"/>
      <c r="E26" s="2719"/>
      <c r="F26" s="2720"/>
    </row>
    <row r="27" spans="1:6" ht="13.5" customHeight="1">
      <c r="A27" s="2716"/>
      <c r="B27" s="2716"/>
      <c r="C27" s="2716"/>
      <c r="D27" s="2718" t="s">
        <v>1912</v>
      </c>
      <c r="E27" s="2719" t="s">
        <v>2183</v>
      </c>
      <c r="F27" s="2723"/>
    </row>
    <row r="28" spans="1:6" ht="13.5" customHeight="1">
      <c r="A28" s="2716"/>
      <c r="B28" s="2716"/>
      <c r="C28" s="2716"/>
      <c r="D28" s="2718"/>
      <c r="E28" s="2719"/>
      <c r="F28" s="2724"/>
    </row>
    <row r="29" spans="1:6" ht="13.5" customHeight="1">
      <c r="A29" s="2716"/>
      <c r="B29" s="2716"/>
      <c r="C29" s="2716"/>
      <c r="D29" s="2718"/>
      <c r="E29" s="2719"/>
      <c r="F29" s="2720"/>
    </row>
    <row r="30" spans="1:6" ht="13.5" customHeight="1">
      <c r="A30" s="2716"/>
      <c r="B30" s="2716"/>
      <c r="C30" s="2716"/>
      <c r="D30" s="2718" t="s">
        <v>1912</v>
      </c>
      <c r="E30" s="2719" t="s">
        <v>1924</v>
      </c>
      <c r="F30" s="2723"/>
    </row>
    <row r="31" spans="1:6" ht="13.5" customHeight="1">
      <c r="A31" s="2716"/>
      <c r="B31" s="2716"/>
      <c r="C31" s="2716"/>
      <c r="D31" s="2718"/>
      <c r="E31" s="2719"/>
      <c r="F31" s="2724"/>
    </row>
    <row r="32" spans="1:6" ht="13.5" customHeight="1">
      <c r="A32" s="2716"/>
      <c r="B32" s="2716"/>
      <c r="C32" s="2716"/>
      <c r="D32" s="2718"/>
      <c r="E32" s="2719"/>
      <c r="F32" s="2720"/>
    </row>
    <row r="33" spans="1:6" ht="13.5" customHeight="1">
      <c r="A33" s="2712" t="s">
        <v>1925</v>
      </c>
      <c r="B33" s="2714"/>
      <c r="C33" s="2711" t="s">
        <v>2184</v>
      </c>
      <c r="D33" s="2713" t="s">
        <v>1912</v>
      </c>
      <c r="E33" s="2714" t="s">
        <v>1921</v>
      </c>
      <c r="F33" s="2725"/>
    </row>
    <row r="34" spans="1:6" ht="13.5" customHeight="1">
      <c r="A34" s="2717"/>
      <c r="B34" s="2719"/>
      <c r="C34" s="2716"/>
      <c r="D34" s="2718"/>
      <c r="E34" s="2719"/>
      <c r="F34" s="2722" t="s">
        <v>1923</v>
      </c>
    </row>
    <row r="35" spans="1:6" ht="13.5" customHeight="1">
      <c r="A35" s="2717"/>
      <c r="B35" s="2719"/>
      <c r="C35" s="2716"/>
      <c r="D35" s="2718" t="s">
        <v>1912</v>
      </c>
      <c r="E35" s="2719" t="s">
        <v>2185</v>
      </c>
      <c r="F35" s="2722" t="s">
        <v>1914</v>
      </c>
    </row>
    <row r="36" spans="1:6" ht="13.5" customHeight="1">
      <c r="A36" s="2717"/>
      <c r="B36" s="2719"/>
      <c r="C36" s="2716"/>
      <c r="D36" s="2718"/>
      <c r="E36" s="2719"/>
      <c r="F36" s="2726"/>
    </row>
    <row r="37" spans="1:6" ht="13.5" customHeight="1">
      <c r="A37" s="2727"/>
      <c r="B37" s="2728"/>
      <c r="C37" s="2729"/>
      <c r="D37" s="2730"/>
      <c r="E37" s="2731"/>
      <c r="F37" s="2732"/>
    </row>
    <row r="38" spans="1:6" ht="13.5" customHeight="1">
      <c r="A38" s="2706" t="s">
        <v>1926</v>
      </c>
    </row>
    <row r="39" spans="1:6" ht="13.5" customHeight="1">
      <c r="A39" s="773" t="s">
        <v>2186</v>
      </c>
    </row>
  </sheetData>
  <mergeCells count="24">
    <mergeCell ref="A33:B37"/>
    <mergeCell ref="C33:C37"/>
    <mergeCell ref="E33:E34"/>
    <mergeCell ref="E35:E36"/>
    <mergeCell ref="E12:E13"/>
    <mergeCell ref="B14:B32"/>
    <mergeCell ref="C14:C32"/>
    <mergeCell ref="E14:E15"/>
    <mergeCell ref="E16:E18"/>
    <mergeCell ref="E19:E21"/>
    <mergeCell ref="E22:E24"/>
    <mergeCell ref="E25:E26"/>
    <mergeCell ref="E27:E29"/>
    <mergeCell ref="E30:E32"/>
    <mergeCell ref="A4:F5"/>
    <mergeCell ref="A7:B7"/>
    <mergeCell ref="D7:E7"/>
    <mergeCell ref="A8:A32"/>
    <mergeCell ref="B8:B9"/>
    <mergeCell ref="C8:C9"/>
    <mergeCell ref="E8:E9"/>
    <mergeCell ref="B10:B13"/>
    <mergeCell ref="C10:C13"/>
    <mergeCell ref="E10:E11"/>
  </mergeCells>
  <phoneticPr fontId="6"/>
  <hyperlinks>
    <hyperlink ref="A39" r:id="rId1" xr:uid="{E934A3AC-C69A-4C15-8DF4-36298C1F7B94}"/>
  </hyperlinks>
  <pageMargins left="0.70866141732283461" right="0.70866141732283461" top="0.55118110236220474" bottom="0.3543307086614173" header="0.31496062992125984" footer="0.31496062992125984"/>
  <pageSetup paperSize="9" orientation="portrait" r:id="rId2"/>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ACBEC8-775C-4D31-B789-0B9A701E1033}">
  <dimension ref="A1:F83"/>
  <sheetViews>
    <sheetView showGridLines="0" view="pageBreakPreview" zoomScale="115" zoomScaleNormal="120" zoomScaleSheetLayoutView="115" workbookViewId="0">
      <selection activeCell="E6" sqref="E6"/>
    </sheetView>
  </sheetViews>
  <sheetFormatPr defaultColWidth="9" defaultRowHeight="13.5" customHeight="1"/>
  <cols>
    <col min="1" max="1" width="10.6328125" style="2739" customWidth="1"/>
    <col min="2" max="2" width="14.26953125" style="2739" customWidth="1"/>
    <col min="3" max="3" width="20" style="2739" customWidth="1"/>
    <col min="4" max="4" width="2.6328125" style="2772" customWidth="1"/>
    <col min="5" max="5" width="33.08984375" style="2739" customWidth="1"/>
    <col min="6" max="6" width="7.6328125" style="2739" customWidth="1"/>
    <col min="7" max="256" width="9" style="2739"/>
    <col min="257" max="257" width="10.6328125" style="2739" customWidth="1"/>
    <col min="258" max="258" width="14.26953125" style="2739" customWidth="1"/>
    <col min="259" max="259" width="20" style="2739" customWidth="1"/>
    <col min="260" max="260" width="2.6328125" style="2739" customWidth="1"/>
    <col min="261" max="261" width="33.08984375" style="2739" customWidth="1"/>
    <col min="262" max="262" width="7.6328125" style="2739" customWidth="1"/>
    <col min="263" max="512" width="9" style="2739"/>
    <col min="513" max="513" width="10.6328125" style="2739" customWidth="1"/>
    <col min="514" max="514" width="14.26953125" style="2739" customWidth="1"/>
    <col min="515" max="515" width="20" style="2739" customWidth="1"/>
    <col min="516" max="516" width="2.6328125" style="2739" customWidth="1"/>
    <col min="517" max="517" width="33.08984375" style="2739" customWidth="1"/>
    <col min="518" max="518" width="7.6328125" style="2739" customWidth="1"/>
    <col min="519" max="768" width="9" style="2739"/>
    <col min="769" max="769" width="10.6328125" style="2739" customWidth="1"/>
    <col min="770" max="770" width="14.26953125" style="2739" customWidth="1"/>
    <col min="771" max="771" width="20" style="2739" customWidth="1"/>
    <col min="772" max="772" width="2.6328125" style="2739" customWidth="1"/>
    <col min="773" max="773" width="33.08984375" style="2739" customWidth="1"/>
    <col min="774" max="774" width="7.6328125" style="2739" customWidth="1"/>
    <col min="775" max="1024" width="9" style="2739"/>
    <col min="1025" max="1025" width="10.6328125" style="2739" customWidth="1"/>
    <col min="1026" max="1026" width="14.26953125" style="2739" customWidth="1"/>
    <col min="1027" max="1027" width="20" style="2739" customWidth="1"/>
    <col min="1028" max="1028" width="2.6328125" style="2739" customWidth="1"/>
    <col min="1029" max="1029" width="33.08984375" style="2739" customWidth="1"/>
    <col min="1030" max="1030" width="7.6328125" style="2739" customWidth="1"/>
    <col min="1031" max="1280" width="9" style="2739"/>
    <col min="1281" max="1281" width="10.6328125" style="2739" customWidth="1"/>
    <col min="1282" max="1282" width="14.26953125" style="2739" customWidth="1"/>
    <col min="1283" max="1283" width="20" style="2739" customWidth="1"/>
    <col min="1284" max="1284" width="2.6328125" style="2739" customWidth="1"/>
    <col min="1285" max="1285" width="33.08984375" style="2739" customWidth="1"/>
    <col min="1286" max="1286" width="7.6328125" style="2739" customWidth="1"/>
    <col min="1287" max="1536" width="9" style="2739"/>
    <col min="1537" max="1537" width="10.6328125" style="2739" customWidth="1"/>
    <col min="1538" max="1538" width="14.26953125" style="2739" customWidth="1"/>
    <col min="1539" max="1539" width="20" style="2739" customWidth="1"/>
    <col min="1540" max="1540" width="2.6328125" style="2739" customWidth="1"/>
    <col min="1541" max="1541" width="33.08984375" style="2739" customWidth="1"/>
    <col min="1542" max="1542" width="7.6328125" style="2739" customWidth="1"/>
    <col min="1543" max="1792" width="9" style="2739"/>
    <col min="1793" max="1793" width="10.6328125" style="2739" customWidth="1"/>
    <col min="1794" max="1794" width="14.26953125" style="2739" customWidth="1"/>
    <col min="1795" max="1795" width="20" style="2739" customWidth="1"/>
    <col min="1796" max="1796" width="2.6328125" style="2739" customWidth="1"/>
    <col min="1797" max="1797" width="33.08984375" style="2739" customWidth="1"/>
    <col min="1798" max="1798" width="7.6328125" style="2739" customWidth="1"/>
    <col min="1799" max="2048" width="9" style="2739"/>
    <col min="2049" max="2049" width="10.6328125" style="2739" customWidth="1"/>
    <col min="2050" max="2050" width="14.26953125" style="2739" customWidth="1"/>
    <col min="2051" max="2051" width="20" style="2739" customWidth="1"/>
    <col min="2052" max="2052" width="2.6328125" style="2739" customWidth="1"/>
    <col min="2053" max="2053" width="33.08984375" style="2739" customWidth="1"/>
    <col min="2054" max="2054" width="7.6328125" style="2739" customWidth="1"/>
    <col min="2055" max="2304" width="9" style="2739"/>
    <col min="2305" max="2305" width="10.6328125" style="2739" customWidth="1"/>
    <col min="2306" max="2306" width="14.26953125" style="2739" customWidth="1"/>
    <col min="2307" max="2307" width="20" style="2739" customWidth="1"/>
    <col min="2308" max="2308" width="2.6328125" style="2739" customWidth="1"/>
    <col min="2309" max="2309" width="33.08984375" style="2739" customWidth="1"/>
    <col min="2310" max="2310" width="7.6328125" style="2739" customWidth="1"/>
    <col min="2311" max="2560" width="9" style="2739"/>
    <col min="2561" max="2561" width="10.6328125" style="2739" customWidth="1"/>
    <col min="2562" max="2562" width="14.26953125" style="2739" customWidth="1"/>
    <col min="2563" max="2563" width="20" style="2739" customWidth="1"/>
    <col min="2564" max="2564" width="2.6328125" style="2739" customWidth="1"/>
    <col min="2565" max="2565" width="33.08984375" style="2739" customWidth="1"/>
    <col min="2566" max="2566" width="7.6328125" style="2739" customWidth="1"/>
    <col min="2567" max="2816" width="9" style="2739"/>
    <col min="2817" max="2817" width="10.6328125" style="2739" customWidth="1"/>
    <col min="2818" max="2818" width="14.26953125" style="2739" customWidth="1"/>
    <col min="2819" max="2819" width="20" style="2739" customWidth="1"/>
    <col min="2820" max="2820" width="2.6328125" style="2739" customWidth="1"/>
    <col min="2821" max="2821" width="33.08984375" style="2739" customWidth="1"/>
    <col min="2822" max="2822" width="7.6328125" style="2739" customWidth="1"/>
    <col min="2823" max="3072" width="9" style="2739"/>
    <col min="3073" max="3073" width="10.6328125" style="2739" customWidth="1"/>
    <col min="3074" max="3074" width="14.26953125" style="2739" customWidth="1"/>
    <col min="3075" max="3075" width="20" style="2739" customWidth="1"/>
    <col min="3076" max="3076" width="2.6328125" style="2739" customWidth="1"/>
    <col min="3077" max="3077" width="33.08984375" style="2739" customWidth="1"/>
    <col min="3078" max="3078" width="7.6328125" style="2739" customWidth="1"/>
    <col min="3079" max="3328" width="9" style="2739"/>
    <col min="3329" max="3329" width="10.6328125" style="2739" customWidth="1"/>
    <col min="3330" max="3330" width="14.26953125" style="2739" customWidth="1"/>
    <col min="3331" max="3331" width="20" style="2739" customWidth="1"/>
    <col min="3332" max="3332" width="2.6328125" style="2739" customWidth="1"/>
    <col min="3333" max="3333" width="33.08984375" style="2739" customWidth="1"/>
    <col min="3334" max="3334" width="7.6328125" style="2739" customWidth="1"/>
    <col min="3335" max="3584" width="9" style="2739"/>
    <col min="3585" max="3585" width="10.6328125" style="2739" customWidth="1"/>
    <col min="3586" max="3586" width="14.26953125" style="2739" customWidth="1"/>
    <col min="3587" max="3587" width="20" style="2739" customWidth="1"/>
    <col min="3588" max="3588" width="2.6328125" style="2739" customWidth="1"/>
    <col min="3589" max="3589" width="33.08984375" style="2739" customWidth="1"/>
    <col min="3590" max="3590" width="7.6328125" style="2739" customWidth="1"/>
    <col min="3591" max="3840" width="9" style="2739"/>
    <col min="3841" max="3841" width="10.6328125" style="2739" customWidth="1"/>
    <col min="3842" max="3842" width="14.26953125" style="2739" customWidth="1"/>
    <col min="3843" max="3843" width="20" style="2739" customWidth="1"/>
    <col min="3844" max="3844" width="2.6328125" style="2739" customWidth="1"/>
    <col min="3845" max="3845" width="33.08984375" style="2739" customWidth="1"/>
    <col min="3846" max="3846" width="7.6328125" style="2739" customWidth="1"/>
    <col min="3847" max="4096" width="9" style="2739"/>
    <col min="4097" max="4097" width="10.6328125" style="2739" customWidth="1"/>
    <col min="4098" max="4098" width="14.26953125" style="2739" customWidth="1"/>
    <col min="4099" max="4099" width="20" style="2739" customWidth="1"/>
    <col min="4100" max="4100" width="2.6328125" style="2739" customWidth="1"/>
    <col min="4101" max="4101" width="33.08984375" style="2739" customWidth="1"/>
    <col min="4102" max="4102" width="7.6328125" style="2739" customWidth="1"/>
    <col min="4103" max="4352" width="9" style="2739"/>
    <col min="4353" max="4353" width="10.6328125" style="2739" customWidth="1"/>
    <col min="4354" max="4354" width="14.26953125" style="2739" customWidth="1"/>
    <col min="4355" max="4355" width="20" style="2739" customWidth="1"/>
    <col min="4356" max="4356" width="2.6328125" style="2739" customWidth="1"/>
    <col min="4357" max="4357" width="33.08984375" style="2739" customWidth="1"/>
    <col min="4358" max="4358" width="7.6328125" style="2739" customWidth="1"/>
    <col min="4359" max="4608" width="9" style="2739"/>
    <col min="4609" max="4609" width="10.6328125" style="2739" customWidth="1"/>
    <col min="4610" max="4610" width="14.26953125" style="2739" customWidth="1"/>
    <col min="4611" max="4611" width="20" style="2739" customWidth="1"/>
    <col min="4612" max="4612" width="2.6328125" style="2739" customWidth="1"/>
    <col min="4613" max="4613" width="33.08984375" style="2739" customWidth="1"/>
    <col min="4614" max="4614" width="7.6328125" style="2739" customWidth="1"/>
    <col min="4615" max="4864" width="9" style="2739"/>
    <col min="4865" max="4865" width="10.6328125" style="2739" customWidth="1"/>
    <col min="4866" max="4866" width="14.26953125" style="2739" customWidth="1"/>
    <col min="4867" max="4867" width="20" style="2739" customWidth="1"/>
    <col min="4868" max="4868" width="2.6328125" style="2739" customWidth="1"/>
    <col min="4869" max="4869" width="33.08984375" style="2739" customWidth="1"/>
    <col min="4870" max="4870" width="7.6328125" style="2739" customWidth="1"/>
    <col min="4871" max="5120" width="9" style="2739"/>
    <col min="5121" max="5121" width="10.6328125" style="2739" customWidth="1"/>
    <col min="5122" max="5122" width="14.26953125" style="2739" customWidth="1"/>
    <col min="5123" max="5123" width="20" style="2739" customWidth="1"/>
    <col min="5124" max="5124" width="2.6328125" style="2739" customWidth="1"/>
    <col min="5125" max="5125" width="33.08984375" style="2739" customWidth="1"/>
    <col min="5126" max="5126" width="7.6328125" style="2739" customWidth="1"/>
    <col min="5127" max="5376" width="9" style="2739"/>
    <col min="5377" max="5377" width="10.6328125" style="2739" customWidth="1"/>
    <col min="5378" max="5378" width="14.26953125" style="2739" customWidth="1"/>
    <col min="5379" max="5379" width="20" style="2739" customWidth="1"/>
    <col min="5380" max="5380" width="2.6328125" style="2739" customWidth="1"/>
    <col min="5381" max="5381" width="33.08984375" style="2739" customWidth="1"/>
    <col min="5382" max="5382" width="7.6328125" style="2739" customWidth="1"/>
    <col min="5383" max="5632" width="9" style="2739"/>
    <col min="5633" max="5633" width="10.6328125" style="2739" customWidth="1"/>
    <col min="5634" max="5634" width="14.26953125" style="2739" customWidth="1"/>
    <col min="5635" max="5635" width="20" style="2739" customWidth="1"/>
    <col min="5636" max="5636" width="2.6328125" style="2739" customWidth="1"/>
    <col min="5637" max="5637" width="33.08984375" style="2739" customWidth="1"/>
    <col min="5638" max="5638" width="7.6328125" style="2739" customWidth="1"/>
    <col min="5639" max="5888" width="9" style="2739"/>
    <col min="5889" max="5889" width="10.6328125" style="2739" customWidth="1"/>
    <col min="5890" max="5890" width="14.26953125" style="2739" customWidth="1"/>
    <col min="5891" max="5891" width="20" style="2739" customWidth="1"/>
    <col min="5892" max="5892" width="2.6328125" style="2739" customWidth="1"/>
    <col min="5893" max="5893" width="33.08984375" style="2739" customWidth="1"/>
    <col min="5894" max="5894" width="7.6328125" style="2739" customWidth="1"/>
    <col min="5895" max="6144" width="9" style="2739"/>
    <col min="6145" max="6145" width="10.6328125" style="2739" customWidth="1"/>
    <col min="6146" max="6146" width="14.26953125" style="2739" customWidth="1"/>
    <col min="6147" max="6147" width="20" style="2739" customWidth="1"/>
    <col min="6148" max="6148" width="2.6328125" style="2739" customWidth="1"/>
    <col min="6149" max="6149" width="33.08984375" style="2739" customWidth="1"/>
    <col min="6150" max="6150" width="7.6328125" style="2739" customWidth="1"/>
    <col min="6151" max="6400" width="9" style="2739"/>
    <col min="6401" max="6401" width="10.6328125" style="2739" customWidth="1"/>
    <col min="6402" max="6402" width="14.26953125" style="2739" customWidth="1"/>
    <col min="6403" max="6403" width="20" style="2739" customWidth="1"/>
    <col min="6404" max="6404" width="2.6328125" style="2739" customWidth="1"/>
    <col min="6405" max="6405" width="33.08984375" style="2739" customWidth="1"/>
    <col min="6406" max="6406" width="7.6328125" style="2739" customWidth="1"/>
    <col min="6407" max="6656" width="9" style="2739"/>
    <col min="6657" max="6657" width="10.6328125" style="2739" customWidth="1"/>
    <col min="6658" max="6658" width="14.26953125" style="2739" customWidth="1"/>
    <col min="6659" max="6659" width="20" style="2739" customWidth="1"/>
    <col min="6660" max="6660" width="2.6328125" style="2739" customWidth="1"/>
    <col min="6661" max="6661" width="33.08984375" style="2739" customWidth="1"/>
    <col min="6662" max="6662" width="7.6328125" style="2739" customWidth="1"/>
    <col min="6663" max="6912" width="9" style="2739"/>
    <col min="6913" max="6913" width="10.6328125" style="2739" customWidth="1"/>
    <col min="6914" max="6914" width="14.26953125" style="2739" customWidth="1"/>
    <col min="6915" max="6915" width="20" style="2739" customWidth="1"/>
    <col min="6916" max="6916" width="2.6328125" style="2739" customWidth="1"/>
    <col min="6917" max="6917" width="33.08984375" style="2739" customWidth="1"/>
    <col min="6918" max="6918" width="7.6328125" style="2739" customWidth="1"/>
    <col min="6919" max="7168" width="9" style="2739"/>
    <col min="7169" max="7169" width="10.6328125" style="2739" customWidth="1"/>
    <col min="7170" max="7170" width="14.26953125" style="2739" customWidth="1"/>
    <col min="7171" max="7171" width="20" style="2739" customWidth="1"/>
    <col min="7172" max="7172" width="2.6328125" style="2739" customWidth="1"/>
    <col min="7173" max="7173" width="33.08984375" style="2739" customWidth="1"/>
    <col min="7174" max="7174" width="7.6328125" style="2739" customWidth="1"/>
    <col min="7175" max="7424" width="9" style="2739"/>
    <col min="7425" max="7425" width="10.6328125" style="2739" customWidth="1"/>
    <col min="7426" max="7426" width="14.26953125" style="2739" customWidth="1"/>
    <col min="7427" max="7427" width="20" style="2739" customWidth="1"/>
    <col min="7428" max="7428" width="2.6328125" style="2739" customWidth="1"/>
    <col min="7429" max="7429" width="33.08984375" style="2739" customWidth="1"/>
    <col min="7430" max="7430" width="7.6328125" style="2739" customWidth="1"/>
    <col min="7431" max="7680" width="9" style="2739"/>
    <col min="7681" max="7681" width="10.6328125" style="2739" customWidth="1"/>
    <col min="7682" max="7682" width="14.26953125" style="2739" customWidth="1"/>
    <col min="7683" max="7683" width="20" style="2739" customWidth="1"/>
    <col min="7684" max="7684" width="2.6328125" style="2739" customWidth="1"/>
    <col min="7685" max="7685" width="33.08984375" style="2739" customWidth="1"/>
    <col min="7686" max="7686" width="7.6328125" style="2739" customWidth="1"/>
    <col min="7687" max="7936" width="9" style="2739"/>
    <col min="7937" max="7937" width="10.6328125" style="2739" customWidth="1"/>
    <col min="7938" max="7938" width="14.26953125" style="2739" customWidth="1"/>
    <col min="7939" max="7939" width="20" style="2739" customWidth="1"/>
    <col min="7940" max="7940" width="2.6328125" style="2739" customWidth="1"/>
    <col min="7941" max="7941" width="33.08984375" style="2739" customWidth="1"/>
    <col min="7942" max="7942" width="7.6328125" style="2739" customWidth="1"/>
    <col min="7943" max="8192" width="9" style="2739"/>
    <col min="8193" max="8193" width="10.6328125" style="2739" customWidth="1"/>
    <col min="8194" max="8194" width="14.26953125" style="2739" customWidth="1"/>
    <col min="8195" max="8195" width="20" style="2739" customWidth="1"/>
    <col min="8196" max="8196" width="2.6328125" style="2739" customWidth="1"/>
    <col min="8197" max="8197" width="33.08984375" style="2739" customWidth="1"/>
    <col min="8198" max="8198" width="7.6328125" style="2739" customWidth="1"/>
    <col min="8199" max="8448" width="9" style="2739"/>
    <col min="8449" max="8449" width="10.6328125" style="2739" customWidth="1"/>
    <col min="8450" max="8450" width="14.26953125" style="2739" customWidth="1"/>
    <col min="8451" max="8451" width="20" style="2739" customWidth="1"/>
    <col min="8452" max="8452" width="2.6328125" style="2739" customWidth="1"/>
    <col min="8453" max="8453" width="33.08984375" style="2739" customWidth="1"/>
    <col min="8454" max="8454" width="7.6328125" style="2739" customWidth="1"/>
    <col min="8455" max="8704" width="9" style="2739"/>
    <col min="8705" max="8705" width="10.6328125" style="2739" customWidth="1"/>
    <col min="8706" max="8706" width="14.26953125" style="2739" customWidth="1"/>
    <col min="8707" max="8707" width="20" style="2739" customWidth="1"/>
    <col min="8708" max="8708" width="2.6328125" style="2739" customWidth="1"/>
    <col min="8709" max="8709" width="33.08984375" style="2739" customWidth="1"/>
    <col min="8710" max="8710" width="7.6328125" style="2739" customWidth="1"/>
    <col min="8711" max="8960" width="9" style="2739"/>
    <col min="8961" max="8961" width="10.6328125" style="2739" customWidth="1"/>
    <col min="8962" max="8962" width="14.26953125" style="2739" customWidth="1"/>
    <col min="8963" max="8963" width="20" style="2739" customWidth="1"/>
    <col min="8964" max="8964" width="2.6328125" style="2739" customWidth="1"/>
    <col min="8965" max="8965" width="33.08984375" style="2739" customWidth="1"/>
    <col min="8966" max="8966" width="7.6328125" style="2739" customWidth="1"/>
    <col min="8967" max="9216" width="9" style="2739"/>
    <col min="9217" max="9217" width="10.6328125" style="2739" customWidth="1"/>
    <col min="9218" max="9218" width="14.26953125" style="2739" customWidth="1"/>
    <col min="9219" max="9219" width="20" style="2739" customWidth="1"/>
    <col min="9220" max="9220" width="2.6328125" style="2739" customWidth="1"/>
    <col min="9221" max="9221" width="33.08984375" style="2739" customWidth="1"/>
    <col min="9222" max="9222" width="7.6328125" style="2739" customWidth="1"/>
    <col min="9223" max="9472" width="9" style="2739"/>
    <col min="9473" max="9473" width="10.6328125" style="2739" customWidth="1"/>
    <col min="9474" max="9474" width="14.26953125" style="2739" customWidth="1"/>
    <col min="9475" max="9475" width="20" style="2739" customWidth="1"/>
    <col min="9476" max="9476" width="2.6328125" style="2739" customWidth="1"/>
    <col min="9477" max="9477" width="33.08984375" style="2739" customWidth="1"/>
    <col min="9478" max="9478" width="7.6328125" style="2739" customWidth="1"/>
    <col min="9479" max="9728" width="9" style="2739"/>
    <col min="9729" max="9729" width="10.6328125" style="2739" customWidth="1"/>
    <col min="9730" max="9730" width="14.26953125" style="2739" customWidth="1"/>
    <col min="9731" max="9731" width="20" style="2739" customWidth="1"/>
    <col min="9732" max="9732" width="2.6328125" style="2739" customWidth="1"/>
    <col min="9733" max="9733" width="33.08984375" style="2739" customWidth="1"/>
    <col min="9734" max="9734" width="7.6328125" style="2739" customWidth="1"/>
    <col min="9735" max="9984" width="9" style="2739"/>
    <col min="9985" max="9985" width="10.6328125" style="2739" customWidth="1"/>
    <col min="9986" max="9986" width="14.26953125" style="2739" customWidth="1"/>
    <col min="9987" max="9987" width="20" style="2739" customWidth="1"/>
    <col min="9988" max="9988" width="2.6328125" style="2739" customWidth="1"/>
    <col min="9989" max="9989" width="33.08984375" style="2739" customWidth="1"/>
    <col min="9990" max="9990" width="7.6328125" style="2739" customWidth="1"/>
    <col min="9991" max="10240" width="9" style="2739"/>
    <col min="10241" max="10241" width="10.6328125" style="2739" customWidth="1"/>
    <col min="10242" max="10242" width="14.26953125" style="2739" customWidth="1"/>
    <col min="10243" max="10243" width="20" style="2739" customWidth="1"/>
    <col min="10244" max="10244" width="2.6328125" style="2739" customWidth="1"/>
    <col min="10245" max="10245" width="33.08984375" style="2739" customWidth="1"/>
    <col min="10246" max="10246" width="7.6328125" style="2739" customWidth="1"/>
    <col min="10247" max="10496" width="9" style="2739"/>
    <col min="10497" max="10497" width="10.6328125" style="2739" customWidth="1"/>
    <col min="10498" max="10498" width="14.26953125" style="2739" customWidth="1"/>
    <col min="10499" max="10499" width="20" style="2739" customWidth="1"/>
    <col min="10500" max="10500" width="2.6328125" style="2739" customWidth="1"/>
    <col min="10501" max="10501" width="33.08984375" style="2739" customWidth="1"/>
    <col min="10502" max="10502" width="7.6328125" style="2739" customWidth="1"/>
    <col min="10503" max="10752" width="9" style="2739"/>
    <col min="10753" max="10753" width="10.6328125" style="2739" customWidth="1"/>
    <col min="10754" max="10754" width="14.26953125" style="2739" customWidth="1"/>
    <col min="10755" max="10755" width="20" style="2739" customWidth="1"/>
    <col min="10756" max="10756" width="2.6328125" style="2739" customWidth="1"/>
    <col min="10757" max="10757" width="33.08984375" style="2739" customWidth="1"/>
    <col min="10758" max="10758" width="7.6328125" style="2739" customWidth="1"/>
    <col min="10759" max="11008" width="9" style="2739"/>
    <col min="11009" max="11009" width="10.6328125" style="2739" customWidth="1"/>
    <col min="11010" max="11010" width="14.26953125" style="2739" customWidth="1"/>
    <col min="11011" max="11011" width="20" style="2739" customWidth="1"/>
    <col min="11012" max="11012" width="2.6328125" style="2739" customWidth="1"/>
    <col min="11013" max="11013" width="33.08984375" style="2739" customWidth="1"/>
    <col min="11014" max="11014" width="7.6328125" style="2739" customWidth="1"/>
    <col min="11015" max="11264" width="9" style="2739"/>
    <col min="11265" max="11265" width="10.6328125" style="2739" customWidth="1"/>
    <col min="11266" max="11266" width="14.26953125" style="2739" customWidth="1"/>
    <col min="11267" max="11267" width="20" style="2739" customWidth="1"/>
    <col min="11268" max="11268" width="2.6328125" style="2739" customWidth="1"/>
    <col min="11269" max="11269" width="33.08984375" style="2739" customWidth="1"/>
    <col min="11270" max="11270" width="7.6328125" style="2739" customWidth="1"/>
    <col min="11271" max="11520" width="9" style="2739"/>
    <col min="11521" max="11521" width="10.6328125" style="2739" customWidth="1"/>
    <col min="11522" max="11522" width="14.26953125" style="2739" customWidth="1"/>
    <col min="11523" max="11523" width="20" style="2739" customWidth="1"/>
    <col min="11524" max="11524" width="2.6328125" style="2739" customWidth="1"/>
    <col min="11525" max="11525" width="33.08984375" style="2739" customWidth="1"/>
    <col min="11526" max="11526" width="7.6328125" style="2739" customWidth="1"/>
    <col min="11527" max="11776" width="9" style="2739"/>
    <col min="11777" max="11777" width="10.6328125" style="2739" customWidth="1"/>
    <col min="11778" max="11778" width="14.26953125" style="2739" customWidth="1"/>
    <col min="11779" max="11779" width="20" style="2739" customWidth="1"/>
    <col min="11780" max="11780" width="2.6328125" style="2739" customWidth="1"/>
    <col min="11781" max="11781" width="33.08984375" style="2739" customWidth="1"/>
    <col min="11782" max="11782" width="7.6328125" style="2739" customWidth="1"/>
    <col min="11783" max="12032" width="9" style="2739"/>
    <col min="12033" max="12033" width="10.6328125" style="2739" customWidth="1"/>
    <col min="12034" max="12034" width="14.26953125" style="2739" customWidth="1"/>
    <col min="12035" max="12035" width="20" style="2739" customWidth="1"/>
    <col min="12036" max="12036" width="2.6328125" style="2739" customWidth="1"/>
    <col min="12037" max="12037" width="33.08984375" style="2739" customWidth="1"/>
    <col min="12038" max="12038" width="7.6328125" style="2739" customWidth="1"/>
    <col min="12039" max="12288" width="9" style="2739"/>
    <col min="12289" max="12289" width="10.6328125" style="2739" customWidth="1"/>
    <col min="12290" max="12290" width="14.26953125" style="2739" customWidth="1"/>
    <col min="12291" max="12291" width="20" style="2739" customWidth="1"/>
    <col min="12292" max="12292" width="2.6328125" style="2739" customWidth="1"/>
    <col min="12293" max="12293" width="33.08984375" style="2739" customWidth="1"/>
    <col min="12294" max="12294" width="7.6328125" style="2739" customWidth="1"/>
    <col min="12295" max="12544" width="9" style="2739"/>
    <col min="12545" max="12545" width="10.6328125" style="2739" customWidth="1"/>
    <col min="12546" max="12546" width="14.26953125" style="2739" customWidth="1"/>
    <col min="12547" max="12547" width="20" style="2739" customWidth="1"/>
    <col min="12548" max="12548" width="2.6328125" style="2739" customWidth="1"/>
    <col min="12549" max="12549" width="33.08984375" style="2739" customWidth="1"/>
    <col min="12550" max="12550" width="7.6328125" style="2739" customWidth="1"/>
    <col min="12551" max="12800" width="9" style="2739"/>
    <col min="12801" max="12801" width="10.6328125" style="2739" customWidth="1"/>
    <col min="12802" max="12802" width="14.26953125" style="2739" customWidth="1"/>
    <col min="12803" max="12803" width="20" style="2739" customWidth="1"/>
    <col min="12804" max="12804" width="2.6328125" style="2739" customWidth="1"/>
    <col min="12805" max="12805" width="33.08984375" style="2739" customWidth="1"/>
    <col min="12806" max="12806" width="7.6328125" style="2739" customWidth="1"/>
    <col min="12807" max="13056" width="9" style="2739"/>
    <col min="13057" max="13057" width="10.6328125" style="2739" customWidth="1"/>
    <col min="13058" max="13058" width="14.26953125" style="2739" customWidth="1"/>
    <col min="13059" max="13059" width="20" style="2739" customWidth="1"/>
    <col min="13060" max="13060" width="2.6328125" style="2739" customWidth="1"/>
    <col min="13061" max="13061" width="33.08984375" style="2739" customWidth="1"/>
    <col min="13062" max="13062" width="7.6328125" style="2739" customWidth="1"/>
    <col min="13063" max="13312" width="9" style="2739"/>
    <col min="13313" max="13313" width="10.6328125" style="2739" customWidth="1"/>
    <col min="13314" max="13314" width="14.26953125" style="2739" customWidth="1"/>
    <col min="13315" max="13315" width="20" style="2739" customWidth="1"/>
    <col min="13316" max="13316" width="2.6328125" style="2739" customWidth="1"/>
    <col min="13317" max="13317" width="33.08984375" style="2739" customWidth="1"/>
    <col min="13318" max="13318" width="7.6328125" style="2739" customWidth="1"/>
    <col min="13319" max="13568" width="9" style="2739"/>
    <col min="13569" max="13569" width="10.6328125" style="2739" customWidth="1"/>
    <col min="13570" max="13570" width="14.26953125" style="2739" customWidth="1"/>
    <col min="13571" max="13571" width="20" style="2739" customWidth="1"/>
    <col min="13572" max="13572" width="2.6328125" style="2739" customWidth="1"/>
    <col min="13573" max="13573" width="33.08984375" style="2739" customWidth="1"/>
    <col min="13574" max="13574" width="7.6328125" style="2739" customWidth="1"/>
    <col min="13575" max="13824" width="9" style="2739"/>
    <col min="13825" max="13825" width="10.6328125" style="2739" customWidth="1"/>
    <col min="13826" max="13826" width="14.26953125" style="2739" customWidth="1"/>
    <col min="13827" max="13827" width="20" style="2739" customWidth="1"/>
    <col min="13828" max="13828" width="2.6328125" style="2739" customWidth="1"/>
    <col min="13829" max="13829" width="33.08984375" style="2739" customWidth="1"/>
    <col min="13830" max="13830" width="7.6328125" style="2739" customWidth="1"/>
    <col min="13831" max="14080" width="9" style="2739"/>
    <col min="14081" max="14081" width="10.6328125" style="2739" customWidth="1"/>
    <col min="14082" max="14082" width="14.26953125" style="2739" customWidth="1"/>
    <col min="14083" max="14083" width="20" style="2739" customWidth="1"/>
    <col min="14084" max="14084" width="2.6328125" style="2739" customWidth="1"/>
    <col min="14085" max="14085" width="33.08984375" style="2739" customWidth="1"/>
    <col min="14086" max="14086" width="7.6328125" style="2739" customWidth="1"/>
    <col min="14087" max="14336" width="9" style="2739"/>
    <col min="14337" max="14337" width="10.6328125" style="2739" customWidth="1"/>
    <col min="14338" max="14338" width="14.26953125" style="2739" customWidth="1"/>
    <col min="14339" max="14339" width="20" style="2739" customWidth="1"/>
    <col min="14340" max="14340" width="2.6328125" style="2739" customWidth="1"/>
    <col min="14341" max="14341" width="33.08984375" style="2739" customWidth="1"/>
    <col min="14342" max="14342" width="7.6328125" style="2739" customWidth="1"/>
    <col min="14343" max="14592" width="9" style="2739"/>
    <col min="14593" max="14593" width="10.6328125" style="2739" customWidth="1"/>
    <col min="14594" max="14594" width="14.26953125" style="2739" customWidth="1"/>
    <col min="14595" max="14595" width="20" style="2739" customWidth="1"/>
    <col min="14596" max="14596" width="2.6328125" style="2739" customWidth="1"/>
    <col min="14597" max="14597" width="33.08984375" style="2739" customWidth="1"/>
    <col min="14598" max="14598" width="7.6328125" style="2739" customWidth="1"/>
    <col min="14599" max="14848" width="9" style="2739"/>
    <col min="14849" max="14849" width="10.6328125" style="2739" customWidth="1"/>
    <col min="14850" max="14850" width="14.26953125" style="2739" customWidth="1"/>
    <col min="14851" max="14851" width="20" style="2739" customWidth="1"/>
    <col min="14852" max="14852" width="2.6328125" style="2739" customWidth="1"/>
    <col min="14853" max="14853" width="33.08984375" style="2739" customWidth="1"/>
    <col min="14854" max="14854" width="7.6328125" style="2739" customWidth="1"/>
    <col min="14855" max="15104" width="9" style="2739"/>
    <col min="15105" max="15105" width="10.6328125" style="2739" customWidth="1"/>
    <col min="15106" max="15106" width="14.26953125" style="2739" customWidth="1"/>
    <col min="15107" max="15107" width="20" style="2739" customWidth="1"/>
    <col min="15108" max="15108" width="2.6328125" style="2739" customWidth="1"/>
    <col min="15109" max="15109" width="33.08984375" style="2739" customWidth="1"/>
    <col min="15110" max="15110" width="7.6328125" style="2739" customWidth="1"/>
    <col min="15111" max="15360" width="9" style="2739"/>
    <col min="15361" max="15361" width="10.6328125" style="2739" customWidth="1"/>
    <col min="15362" max="15362" width="14.26953125" style="2739" customWidth="1"/>
    <col min="15363" max="15363" width="20" style="2739" customWidth="1"/>
    <col min="15364" max="15364" width="2.6328125" style="2739" customWidth="1"/>
    <col min="15365" max="15365" width="33.08984375" style="2739" customWidth="1"/>
    <col min="15366" max="15366" width="7.6328125" style="2739" customWidth="1"/>
    <col min="15367" max="15616" width="9" style="2739"/>
    <col min="15617" max="15617" width="10.6328125" style="2739" customWidth="1"/>
    <col min="15618" max="15618" width="14.26953125" style="2739" customWidth="1"/>
    <col min="15619" max="15619" width="20" style="2739" customWidth="1"/>
    <col min="15620" max="15620" width="2.6328125" style="2739" customWidth="1"/>
    <col min="15621" max="15621" width="33.08984375" style="2739" customWidth="1"/>
    <col min="15622" max="15622" width="7.6328125" style="2739" customWidth="1"/>
    <col min="15623" max="15872" width="9" style="2739"/>
    <col min="15873" max="15873" width="10.6328125" style="2739" customWidth="1"/>
    <col min="15874" max="15874" width="14.26953125" style="2739" customWidth="1"/>
    <col min="15875" max="15875" width="20" style="2739" customWidth="1"/>
    <col min="15876" max="15876" width="2.6328125" style="2739" customWidth="1"/>
    <col min="15877" max="15877" width="33.08984375" style="2739" customWidth="1"/>
    <col min="15878" max="15878" width="7.6328125" style="2739" customWidth="1"/>
    <col min="15879" max="16128" width="9" style="2739"/>
    <col min="16129" max="16129" width="10.6328125" style="2739" customWidth="1"/>
    <col min="16130" max="16130" width="14.26953125" style="2739" customWidth="1"/>
    <col min="16131" max="16131" width="20" style="2739" customWidth="1"/>
    <col min="16132" max="16132" width="2.6328125" style="2739" customWidth="1"/>
    <col min="16133" max="16133" width="33.08984375" style="2739" customWidth="1"/>
    <col min="16134" max="16134" width="7.6328125" style="2739" customWidth="1"/>
    <col min="16135" max="16384" width="9" style="2739"/>
  </cols>
  <sheetData>
    <row r="1" spans="1:6" s="2734" customFormat="1" ht="13.5" customHeight="1">
      <c r="A1" s="2734" t="s">
        <v>1927</v>
      </c>
      <c r="D1" s="2735"/>
    </row>
    <row r="2" spans="1:6" ht="13.5" customHeight="1">
      <c r="A2" s="2736"/>
      <c r="B2" s="2736"/>
      <c r="C2" s="2736"/>
      <c r="D2" s="2737"/>
      <c r="E2" s="2736"/>
      <c r="F2" s="2738"/>
    </row>
    <row r="3" spans="1:6" s="2734" customFormat="1" ht="13.5" customHeight="1">
      <c r="A3" s="2740" t="s">
        <v>1907</v>
      </c>
      <c r="B3" s="2741"/>
      <c r="C3" s="2742" t="s">
        <v>1908</v>
      </c>
      <c r="D3" s="2740" t="s">
        <v>1909</v>
      </c>
      <c r="E3" s="2741"/>
      <c r="F3" s="2743" t="s">
        <v>1303</v>
      </c>
    </row>
    <row r="4" spans="1:6" ht="13.5" customHeight="1">
      <c r="A4" s="2744" t="s">
        <v>1928</v>
      </c>
      <c r="B4" s="2744" t="s">
        <v>1929</v>
      </c>
      <c r="C4" s="2745" t="s">
        <v>1930</v>
      </c>
      <c r="D4" s="2746" t="s">
        <v>1912</v>
      </c>
      <c r="E4" s="2747" t="s">
        <v>1968</v>
      </c>
      <c r="F4" s="2748" t="s">
        <v>1931</v>
      </c>
    </row>
    <row r="5" spans="1:6" ht="13.5" customHeight="1">
      <c r="A5" s="2749"/>
      <c r="B5" s="2749"/>
      <c r="C5" s="2750"/>
      <c r="D5" s="2751"/>
      <c r="E5" s="2752"/>
      <c r="F5" s="2753" t="s">
        <v>1914</v>
      </c>
    </row>
    <row r="6" spans="1:6" ht="13.5" customHeight="1">
      <c r="A6" s="2749"/>
      <c r="B6" s="2749"/>
      <c r="C6" s="2750"/>
      <c r="D6" s="2751"/>
      <c r="E6" s="2754"/>
      <c r="F6" s="2755" t="s">
        <v>1923</v>
      </c>
    </row>
    <row r="7" spans="1:6" ht="13.5" customHeight="1">
      <c r="A7" s="2749"/>
      <c r="B7" s="2749"/>
      <c r="C7" s="2750"/>
      <c r="D7" s="2751"/>
      <c r="E7" s="2754"/>
      <c r="F7" s="2756" t="s">
        <v>1932</v>
      </c>
    </row>
    <row r="8" spans="1:6" ht="13.5" customHeight="1">
      <c r="A8" s="2749"/>
      <c r="B8" s="2744" t="s">
        <v>1933</v>
      </c>
      <c r="C8" s="2744" t="s">
        <v>1934</v>
      </c>
      <c r="D8" s="2746" t="s">
        <v>1912</v>
      </c>
      <c r="E8" s="2747" t="s">
        <v>1935</v>
      </c>
      <c r="F8" s="2748" t="s">
        <v>1931</v>
      </c>
    </row>
    <row r="9" spans="1:6" ht="13.5" customHeight="1">
      <c r="A9" s="2749"/>
      <c r="B9" s="2749"/>
      <c r="C9" s="2749"/>
      <c r="D9" s="2751"/>
      <c r="E9" s="2752"/>
      <c r="F9" s="2753" t="s">
        <v>1914</v>
      </c>
    </row>
    <row r="10" spans="1:6" ht="13.5" customHeight="1">
      <c r="A10" s="2749"/>
      <c r="B10" s="2749"/>
      <c r="C10" s="2749"/>
      <c r="D10" s="2751"/>
      <c r="E10" s="2752"/>
      <c r="F10" s="2755" t="s">
        <v>1923</v>
      </c>
    </row>
    <row r="11" spans="1:6" ht="13.5" customHeight="1">
      <c r="A11" s="2749"/>
      <c r="B11" s="2749"/>
      <c r="C11" s="2749"/>
      <c r="D11" s="2751"/>
      <c r="E11" s="2754"/>
      <c r="F11" s="2756" t="s">
        <v>1932</v>
      </c>
    </row>
    <row r="12" spans="1:6" ht="13.5" customHeight="1">
      <c r="A12" s="2749"/>
      <c r="B12" s="2744" t="s">
        <v>1936</v>
      </c>
      <c r="C12" s="2744" t="s">
        <v>1937</v>
      </c>
      <c r="D12" s="2746" t="s">
        <v>1912</v>
      </c>
      <c r="E12" s="2747" t="s">
        <v>1938</v>
      </c>
      <c r="F12" s="2748" t="s">
        <v>1931</v>
      </c>
    </row>
    <row r="13" spans="1:6" ht="13.5" customHeight="1">
      <c r="A13" s="2749"/>
      <c r="B13" s="2749"/>
      <c r="C13" s="2749"/>
      <c r="D13" s="2751"/>
      <c r="E13" s="2752"/>
      <c r="F13" s="2753" t="s">
        <v>1914</v>
      </c>
    </row>
    <row r="14" spans="1:6" ht="13.5" customHeight="1">
      <c r="A14" s="2749"/>
      <c r="B14" s="2749"/>
      <c r="C14" s="2749"/>
      <c r="D14" s="2751"/>
      <c r="E14" s="2752"/>
      <c r="F14" s="2755" t="s">
        <v>1923</v>
      </c>
    </row>
    <row r="15" spans="1:6" ht="13.5" customHeight="1">
      <c r="A15" s="2749"/>
      <c r="B15" s="2749"/>
      <c r="C15" s="2749"/>
      <c r="D15" s="2751"/>
      <c r="E15" s="2754"/>
      <c r="F15" s="2756" t="s">
        <v>1932</v>
      </c>
    </row>
    <row r="16" spans="1:6" ht="13.5" customHeight="1">
      <c r="A16" s="2749"/>
      <c r="B16" s="2744" t="s">
        <v>1939</v>
      </c>
      <c r="C16" s="2744" t="s">
        <v>1940</v>
      </c>
      <c r="D16" s="2746" t="s">
        <v>1912</v>
      </c>
      <c r="E16" s="2747" t="s">
        <v>1941</v>
      </c>
      <c r="F16" s="2748" t="s">
        <v>1931</v>
      </c>
    </row>
    <row r="17" spans="1:6" ht="13.5" customHeight="1">
      <c r="A17" s="2749"/>
      <c r="B17" s="2749"/>
      <c r="C17" s="2749"/>
      <c r="D17" s="2751"/>
      <c r="E17" s="2752"/>
      <c r="F17" s="2753" t="s">
        <v>1914</v>
      </c>
    </row>
    <row r="18" spans="1:6" ht="13.5" customHeight="1">
      <c r="A18" s="2749"/>
      <c r="B18" s="2749"/>
      <c r="C18" s="2749"/>
      <c r="D18" s="2751"/>
      <c r="E18" s="2752"/>
      <c r="F18" s="2755" t="s">
        <v>1923</v>
      </c>
    </row>
    <row r="19" spans="1:6" ht="13.5" customHeight="1">
      <c r="A19" s="2749"/>
      <c r="B19" s="2749"/>
      <c r="C19" s="2749"/>
      <c r="D19" s="2751"/>
      <c r="E19" s="2754"/>
      <c r="F19" s="2756" t="s">
        <v>1932</v>
      </c>
    </row>
    <row r="20" spans="1:6" ht="13.5" customHeight="1">
      <c r="A20" s="2749"/>
      <c r="B20" s="2744" t="s">
        <v>1942</v>
      </c>
      <c r="C20" s="2744" t="s">
        <v>1943</v>
      </c>
      <c r="D20" s="2746" t="s">
        <v>1912</v>
      </c>
      <c r="E20" s="2747" t="s">
        <v>1944</v>
      </c>
      <c r="F20" s="2748" t="s">
        <v>1931</v>
      </c>
    </row>
    <row r="21" spans="1:6" ht="13.5" customHeight="1">
      <c r="A21" s="2749"/>
      <c r="B21" s="2749"/>
      <c r="C21" s="2749"/>
      <c r="D21" s="2751"/>
      <c r="E21" s="2752"/>
      <c r="F21" s="2753" t="s">
        <v>1914</v>
      </c>
    </row>
    <row r="22" spans="1:6" ht="13.5" customHeight="1">
      <c r="A22" s="2749"/>
      <c r="B22" s="2749"/>
      <c r="C22" s="2749"/>
      <c r="D22" s="2751"/>
      <c r="E22" s="2754"/>
      <c r="F22" s="2755" t="s">
        <v>1923</v>
      </c>
    </row>
    <row r="23" spans="1:6" ht="13.5" customHeight="1">
      <c r="A23" s="2749"/>
      <c r="B23" s="2749"/>
      <c r="C23" s="2749"/>
      <c r="D23" s="2751"/>
      <c r="E23" s="2754"/>
      <c r="F23" s="2756" t="s">
        <v>1932</v>
      </c>
    </row>
    <row r="24" spans="1:6" ht="13.5" customHeight="1">
      <c r="A24" s="2744" t="s">
        <v>1945</v>
      </c>
      <c r="B24" s="2744" t="s">
        <v>1946</v>
      </c>
      <c r="C24" s="2745" t="s">
        <v>1947</v>
      </c>
      <c r="D24" s="2746" t="s">
        <v>1912</v>
      </c>
      <c r="E24" s="2747" t="s">
        <v>1948</v>
      </c>
      <c r="F24" s="2748"/>
    </row>
    <row r="25" spans="1:6" ht="13.5" customHeight="1">
      <c r="A25" s="2749"/>
      <c r="B25" s="2749"/>
      <c r="C25" s="2750"/>
      <c r="D25" s="2751"/>
      <c r="E25" s="2752"/>
      <c r="F25" s="2753" t="s">
        <v>1949</v>
      </c>
    </row>
    <row r="26" spans="1:6" ht="13.5" customHeight="1">
      <c r="A26" s="2749"/>
      <c r="B26" s="2749"/>
      <c r="C26" s="2750"/>
      <c r="D26" s="2751" t="s">
        <v>1912</v>
      </c>
      <c r="E26" s="2752" t="s">
        <v>1950</v>
      </c>
      <c r="F26" s="2755" t="s">
        <v>1951</v>
      </c>
    </row>
    <row r="27" spans="1:6" ht="13.5" customHeight="1">
      <c r="A27" s="2749"/>
      <c r="B27" s="2749"/>
      <c r="C27" s="2750"/>
      <c r="D27" s="2751"/>
      <c r="E27" s="2752"/>
      <c r="F27" s="2755" t="s">
        <v>1952</v>
      </c>
    </row>
    <row r="28" spans="1:6" ht="13.5" customHeight="1">
      <c r="A28" s="2749"/>
      <c r="B28" s="2749"/>
      <c r="C28" s="2750"/>
      <c r="D28" s="2751"/>
      <c r="E28" s="2752"/>
      <c r="F28" s="2755" t="s">
        <v>1953</v>
      </c>
    </row>
    <row r="29" spans="1:6" ht="13.5" customHeight="1">
      <c r="A29" s="2749"/>
      <c r="B29" s="2749"/>
      <c r="C29" s="2750"/>
      <c r="D29" s="2751" t="s">
        <v>1912</v>
      </c>
      <c r="E29" s="2752" t="s">
        <v>2187</v>
      </c>
      <c r="F29" s="2755"/>
    </row>
    <row r="30" spans="1:6" ht="13.5" customHeight="1">
      <c r="A30" s="2749"/>
      <c r="B30" s="2749"/>
      <c r="C30" s="2750"/>
      <c r="D30" s="2751"/>
      <c r="E30" s="2752"/>
      <c r="F30" s="2756"/>
    </row>
    <row r="31" spans="1:6" ht="13.5" customHeight="1">
      <c r="A31" s="2749"/>
      <c r="B31" s="2744" t="s">
        <v>1954</v>
      </c>
      <c r="C31" s="2744" t="s">
        <v>1955</v>
      </c>
      <c r="D31" s="2746" t="s">
        <v>1912</v>
      </c>
      <c r="E31" s="2747" t="s">
        <v>1956</v>
      </c>
      <c r="F31" s="2748" t="s">
        <v>1949</v>
      </c>
    </row>
    <row r="32" spans="1:6" ht="13.5" customHeight="1">
      <c r="A32" s="2749"/>
      <c r="B32" s="2749"/>
      <c r="C32" s="2749"/>
      <c r="D32" s="2751"/>
      <c r="E32" s="2752"/>
      <c r="F32" s="2753" t="s">
        <v>1951</v>
      </c>
    </row>
    <row r="33" spans="1:6" ht="13.5" customHeight="1">
      <c r="A33" s="2749"/>
      <c r="B33" s="2749"/>
      <c r="C33" s="2749"/>
      <c r="D33" s="2751"/>
      <c r="E33" s="2752"/>
      <c r="F33" s="2755" t="s">
        <v>1952</v>
      </c>
    </row>
    <row r="34" spans="1:6" ht="13.5" customHeight="1">
      <c r="A34" s="2749"/>
      <c r="B34" s="2749"/>
      <c r="C34" s="2749"/>
      <c r="D34" s="2751" t="s">
        <v>1912</v>
      </c>
      <c r="E34" s="2752" t="s">
        <v>2188</v>
      </c>
      <c r="F34" s="2755" t="s">
        <v>1932</v>
      </c>
    </row>
    <row r="35" spans="1:6" ht="13.5" customHeight="1">
      <c r="A35" s="2749"/>
      <c r="B35" s="2749"/>
      <c r="C35" s="2749"/>
      <c r="D35" s="2751"/>
      <c r="E35" s="2752"/>
      <c r="F35" s="2756"/>
    </row>
    <row r="36" spans="1:6" ht="13.5" customHeight="1">
      <c r="A36" s="2744" t="s">
        <v>1957</v>
      </c>
      <c r="B36" s="2744" t="s">
        <v>1958</v>
      </c>
      <c r="C36" s="2744" t="s">
        <v>1959</v>
      </c>
      <c r="D36" s="2746" t="s">
        <v>1912</v>
      </c>
      <c r="E36" s="2747" t="s">
        <v>1960</v>
      </c>
      <c r="F36" s="2757"/>
    </row>
    <row r="37" spans="1:6" ht="13.5" customHeight="1">
      <c r="A37" s="2749"/>
      <c r="B37" s="2749"/>
      <c r="C37" s="2749"/>
      <c r="D37" s="2751"/>
      <c r="E37" s="2752"/>
      <c r="F37" s="2753"/>
    </row>
    <row r="38" spans="1:6" ht="13.5" customHeight="1">
      <c r="A38" s="2749"/>
      <c r="B38" s="2749"/>
      <c r="C38" s="2758" t="s">
        <v>2447</v>
      </c>
      <c r="D38" s="2751" t="s">
        <v>1912</v>
      </c>
      <c r="E38" s="2752" t="s">
        <v>2448</v>
      </c>
      <c r="F38" s="2755"/>
    </row>
    <row r="39" spans="1:6" ht="13.5" customHeight="1">
      <c r="A39" s="2749"/>
      <c r="B39" s="2749"/>
      <c r="C39" s="2758"/>
      <c r="D39" s="2751"/>
      <c r="E39" s="2752"/>
      <c r="F39" s="2755" t="s">
        <v>1949</v>
      </c>
    </row>
    <row r="40" spans="1:6" ht="13.5" customHeight="1">
      <c r="A40" s="2749"/>
      <c r="B40" s="2749"/>
      <c r="C40" s="2758"/>
      <c r="D40" s="2751"/>
      <c r="E40" s="2752"/>
      <c r="F40" s="2755" t="s">
        <v>1951</v>
      </c>
    </row>
    <row r="41" spans="1:6" ht="13.5" customHeight="1">
      <c r="A41" s="2749"/>
      <c r="B41" s="2749"/>
      <c r="C41" s="2758"/>
      <c r="D41" s="2751"/>
      <c r="E41" s="2752" t="s">
        <v>2449</v>
      </c>
      <c r="F41" s="2755" t="s">
        <v>1952</v>
      </c>
    </row>
    <row r="42" spans="1:6" ht="13.5" customHeight="1">
      <c r="A42" s="2749"/>
      <c r="B42" s="2749"/>
      <c r="C42" s="2758" t="s">
        <v>2450</v>
      </c>
      <c r="D42" s="2751"/>
      <c r="E42" s="2752"/>
      <c r="F42" s="2755" t="s">
        <v>1953</v>
      </c>
    </row>
    <row r="43" spans="1:6" ht="13.5" customHeight="1">
      <c r="A43" s="2749"/>
      <c r="B43" s="2749"/>
      <c r="C43" s="2758"/>
      <c r="D43" s="2751"/>
      <c r="E43" s="2752"/>
      <c r="F43" s="2755"/>
    </row>
    <row r="44" spans="1:6" ht="13.5" customHeight="1">
      <c r="A44" s="2749"/>
      <c r="B44" s="2749"/>
      <c r="C44" s="2758" t="s">
        <v>2451</v>
      </c>
      <c r="D44" s="2751"/>
      <c r="E44" s="2752" t="s">
        <v>2452</v>
      </c>
      <c r="F44" s="2755"/>
    </row>
    <row r="45" spans="1:6" ht="13.5" customHeight="1">
      <c r="A45" s="2749"/>
      <c r="B45" s="2749"/>
      <c r="C45" s="2758"/>
      <c r="D45" s="2751"/>
      <c r="E45" s="2752"/>
      <c r="F45" s="2755"/>
    </row>
    <row r="46" spans="1:6" ht="13.5" customHeight="1">
      <c r="A46" s="2749"/>
      <c r="B46" s="2749"/>
      <c r="C46" s="2758"/>
      <c r="D46" s="2751"/>
      <c r="E46" s="2752"/>
      <c r="F46" s="2755"/>
    </row>
    <row r="47" spans="1:6" ht="13.5" customHeight="1">
      <c r="A47" s="2749"/>
      <c r="B47" s="2749"/>
      <c r="C47" s="2758"/>
      <c r="D47" s="2751"/>
      <c r="E47" s="2752" t="s">
        <v>2453</v>
      </c>
      <c r="F47" s="2755"/>
    </row>
    <row r="48" spans="1:6" ht="13.5" customHeight="1">
      <c r="A48" s="2749"/>
      <c r="B48" s="2749"/>
      <c r="C48" s="2758"/>
      <c r="D48" s="2751"/>
      <c r="E48" s="2752"/>
      <c r="F48" s="2755"/>
    </row>
    <row r="49" spans="1:6" ht="13.5" customHeight="1">
      <c r="A49" s="2749"/>
      <c r="B49" s="2749"/>
      <c r="C49" s="2759"/>
      <c r="D49" s="2751"/>
      <c r="E49" s="2752"/>
      <c r="F49" s="2756"/>
    </row>
    <row r="50" spans="1:6" ht="13.5" customHeight="1">
      <c r="A50" s="2749"/>
      <c r="B50" s="2744" t="s">
        <v>1961</v>
      </c>
      <c r="C50" s="2744" t="s">
        <v>2454</v>
      </c>
      <c r="D50" s="2746" t="s">
        <v>1912</v>
      </c>
      <c r="E50" s="2747" t="s">
        <v>1960</v>
      </c>
      <c r="F50" s="2748"/>
    </row>
    <row r="51" spans="1:6" ht="13.5" customHeight="1">
      <c r="A51" s="2749"/>
      <c r="B51" s="2749"/>
      <c r="C51" s="2749"/>
      <c r="D51" s="2751"/>
      <c r="E51" s="2752"/>
      <c r="F51" s="2753"/>
    </row>
    <row r="52" spans="1:6" ht="13.5" customHeight="1">
      <c r="A52" s="2749"/>
      <c r="B52" s="2749"/>
      <c r="C52" s="2758" t="s">
        <v>1963</v>
      </c>
      <c r="D52" s="2751" t="s">
        <v>1912</v>
      </c>
      <c r="E52" s="2752" t="s">
        <v>2448</v>
      </c>
      <c r="F52" s="2755"/>
    </row>
    <row r="53" spans="1:6" ht="13.5" customHeight="1">
      <c r="A53" s="2749"/>
      <c r="B53" s="2749"/>
      <c r="C53" s="2758"/>
      <c r="D53" s="2751"/>
      <c r="E53" s="2752"/>
      <c r="F53" s="2755"/>
    </row>
    <row r="54" spans="1:6" ht="13.5" customHeight="1">
      <c r="A54" s="2749"/>
      <c r="B54" s="2749"/>
      <c r="C54" s="2758"/>
      <c r="D54" s="2751"/>
      <c r="E54" s="2752"/>
      <c r="F54" s="2755" t="s">
        <v>1949</v>
      </c>
    </row>
    <row r="55" spans="1:6" ht="13.5" customHeight="1">
      <c r="A55" s="2749"/>
      <c r="B55" s="2749"/>
      <c r="C55" s="2758" t="s">
        <v>2455</v>
      </c>
      <c r="D55" s="2751"/>
      <c r="E55" s="2752" t="s">
        <v>2449</v>
      </c>
      <c r="F55" s="2755" t="s">
        <v>1951</v>
      </c>
    </row>
    <row r="56" spans="1:6" ht="13.5" customHeight="1">
      <c r="A56" s="2749"/>
      <c r="B56" s="2749"/>
      <c r="C56" s="2758"/>
      <c r="D56" s="2751"/>
      <c r="E56" s="2752"/>
      <c r="F56" s="2755" t="s">
        <v>1952</v>
      </c>
    </row>
    <row r="57" spans="1:6" ht="13.5" customHeight="1">
      <c r="A57" s="2749"/>
      <c r="B57" s="2749"/>
      <c r="C57" s="2758"/>
      <c r="D57" s="2751"/>
      <c r="E57" s="2752"/>
      <c r="F57" s="2755" t="s">
        <v>1953</v>
      </c>
    </row>
    <row r="58" spans="1:6" ht="13.5" customHeight="1">
      <c r="A58" s="2749"/>
      <c r="B58" s="2749"/>
      <c r="C58" s="2758" t="s">
        <v>2189</v>
      </c>
      <c r="D58" s="2751"/>
      <c r="E58" s="2752" t="s">
        <v>2452</v>
      </c>
      <c r="F58" s="2755"/>
    </row>
    <row r="59" spans="1:6" ht="13.5" customHeight="1">
      <c r="A59" s="2749"/>
      <c r="B59" s="2749"/>
      <c r="C59" s="2758"/>
      <c r="D59" s="2751"/>
      <c r="E59" s="2752"/>
      <c r="F59" s="2755"/>
    </row>
    <row r="60" spans="1:6" ht="13.5" customHeight="1">
      <c r="A60" s="2749"/>
      <c r="B60" s="2749"/>
      <c r="C60" s="2758"/>
      <c r="D60" s="2751"/>
      <c r="E60" s="2752"/>
      <c r="F60" s="2755"/>
    </row>
    <row r="61" spans="1:6" ht="13.5" customHeight="1">
      <c r="A61" s="2749"/>
      <c r="B61" s="2749"/>
      <c r="C61" s="2760"/>
      <c r="D61" s="2751"/>
      <c r="E61" s="2752" t="s">
        <v>2453</v>
      </c>
      <c r="F61" s="2755"/>
    </row>
    <row r="62" spans="1:6" ht="13.5" customHeight="1">
      <c r="A62" s="2749"/>
      <c r="B62" s="2749"/>
      <c r="C62" s="2760"/>
      <c r="D62" s="2751"/>
      <c r="E62" s="2752"/>
      <c r="F62" s="2755"/>
    </row>
    <row r="63" spans="1:6" ht="13.5" customHeight="1">
      <c r="A63" s="2761"/>
      <c r="B63" s="2761"/>
      <c r="C63" s="2762"/>
      <c r="D63" s="2763"/>
      <c r="E63" s="2764"/>
      <c r="F63" s="2756"/>
    </row>
    <row r="64" spans="1:6" ht="13.5" customHeight="1">
      <c r="A64" s="2760"/>
      <c r="B64" s="2749" t="s">
        <v>1962</v>
      </c>
      <c r="C64" s="2749" t="s">
        <v>2456</v>
      </c>
      <c r="D64" s="2751" t="s">
        <v>1912</v>
      </c>
      <c r="E64" s="2752" t="s">
        <v>1960</v>
      </c>
      <c r="F64" s="2748"/>
    </row>
    <row r="65" spans="1:6" ht="13.5" customHeight="1">
      <c r="A65" s="2760"/>
      <c r="B65" s="2749"/>
      <c r="C65" s="2749"/>
      <c r="D65" s="2751"/>
      <c r="E65" s="2752"/>
      <c r="F65" s="2753"/>
    </row>
    <row r="66" spans="1:6" ht="13.5" customHeight="1">
      <c r="A66" s="2760"/>
      <c r="B66" s="2749"/>
      <c r="C66" s="2758"/>
      <c r="D66" s="2751" t="s">
        <v>1912</v>
      </c>
      <c r="E66" s="2752" t="s">
        <v>2448</v>
      </c>
      <c r="F66" s="2755"/>
    </row>
    <row r="67" spans="1:6" ht="13.5" customHeight="1">
      <c r="A67" s="2760"/>
      <c r="B67" s="2749"/>
      <c r="C67" s="2758"/>
      <c r="D67" s="2751"/>
      <c r="E67" s="2752"/>
      <c r="F67" s="2753" t="s">
        <v>1949</v>
      </c>
    </row>
    <row r="68" spans="1:6" ht="13.5" customHeight="1">
      <c r="A68" s="2760"/>
      <c r="B68" s="2749"/>
      <c r="C68" s="2758"/>
      <c r="D68" s="2751"/>
      <c r="E68" s="2752"/>
      <c r="F68" s="2755" t="s">
        <v>1951</v>
      </c>
    </row>
    <row r="69" spans="1:6" ht="13.5" customHeight="1">
      <c r="A69" s="2760"/>
      <c r="B69" s="2749"/>
      <c r="C69" s="2765"/>
      <c r="D69" s="2751"/>
      <c r="E69" s="2752" t="s">
        <v>2449</v>
      </c>
      <c r="F69" s="2755" t="s">
        <v>1952</v>
      </c>
    </row>
    <row r="70" spans="1:6" ht="13.5" customHeight="1">
      <c r="A70" s="2760"/>
      <c r="B70" s="2760"/>
      <c r="C70" s="2758"/>
      <c r="D70" s="2751"/>
      <c r="E70" s="2752"/>
      <c r="F70" s="2755" t="s">
        <v>1953</v>
      </c>
    </row>
    <row r="71" spans="1:6" ht="13.5" customHeight="1">
      <c r="A71" s="2760"/>
      <c r="B71" s="2760"/>
      <c r="C71" s="2758"/>
      <c r="D71" s="2751"/>
      <c r="E71" s="2752"/>
      <c r="F71" s="2755"/>
    </row>
    <row r="72" spans="1:6" ht="13.5" customHeight="1">
      <c r="A72" s="2760"/>
      <c r="B72" s="2760"/>
      <c r="C72" s="2758"/>
      <c r="D72" s="2751"/>
      <c r="E72" s="2752" t="s">
        <v>2452</v>
      </c>
      <c r="F72" s="2755"/>
    </row>
    <row r="73" spans="1:6" ht="13.5" customHeight="1">
      <c r="A73" s="2760"/>
      <c r="B73" s="2760"/>
      <c r="C73" s="2766"/>
      <c r="D73" s="2751"/>
      <c r="E73" s="2752"/>
      <c r="F73" s="2755"/>
    </row>
    <row r="74" spans="1:6" ht="13.5" customHeight="1">
      <c r="A74" s="2760"/>
      <c r="B74" s="2760"/>
      <c r="C74" s="2766"/>
      <c r="D74" s="2751"/>
      <c r="E74" s="2752"/>
      <c r="F74" s="2755"/>
    </row>
    <row r="75" spans="1:6" ht="13.5" customHeight="1">
      <c r="A75" s="2760"/>
      <c r="B75" s="2760"/>
      <c r="C75" s="2766"/>
      <c r="D75" s="2751"/>
      <c r="E75" s="2752" t="s">
        <v>2453</v>
      </c>
      <c r="F75" s="2755"/>
    </row>
    <row r="76" spans="1:6" ht="13.5" customHeight="1">
      <c r="A76" s="2760"/>
      <c r="B76" s="2760"/>
      <c r="C76" s="2766"/>
      <c r="D76" s="2751"/>
      <c r="E76" s="2752"/>
      <c r="F76" s="2755"/>
    </row>
    <row r="77" spans="1:6" ht="13.5" customHeight="1">
      <c r="A77" s="2760"/>
      <c r="B77" s="2760"/>
      <c r="C77" s="2765"/>
      <c r="D77" s="2751"/>
      <c r="E77" s="2752"/>
      <c r="F77" s="2756"/>
    </row>
    <row r="78" spans="1:6" ht="13.5" customHeight="1">
      <c r="A78" s="2745" t="s">
        <v>1964</v>
      </c>
      <c r="B78" s="2747"/>
      <c r="C78" s="2744" t="s">
        <v>2190</v>
      </c>
      <c r="D78" s="2746" t="s">
        <v>1912</v>
      </c>
      <c r="E78" s="2747" t="s">
        <v>1965</v>
      </c>
      <c r="F78" s="2767"/>
    </row>
    <row r="79" spans="1:6" ht="13.5" customHeight="1">
      <c r="A79" s="2750"/>
      <c r="B79" s="2752"/>
      <c r="C79" s="2749"/>
      <c r="D79" s="2751"/>
      <c r="E79" s="2752"/>
      <c r="F79" s="2768" t="s">
        <v>1914</v>
      </c>
    </row>
    <row r="80" spans="1:6" ht="13.5" customHeight="1">
      <c r="A80" s="2750"/>
      <c r="B80" s="2752"/>
      <c r="C80" s="2749"/>
      <c r="D80" s="2751"/>
      <c r="E80" s="2754"/>
      <c r="F80" s="2755"/>
    </row>
    <row r="81" spans="1:6" ht="13.5" customHeight="1">
      <c r="A81" s="2769"/>
      <c r="B81" s="2764"/>
      <c r="C81" s="2761"/>
      <c r="D81" s="2763"/>
      <c r="E81" s="2770"/>
      <c r="F81" s="2771"/>
    </row>
    <row r="82" spans="1:6" ht="13.5" customHeight="1">
      <c r="A82" s="2739" t="s">
        <v>1926</v>
      </c>
    </row>
    <row r="83" spans="1:6" ht="13.5" customHeight="1">
      <c r="A83" s="773" t="s">
        <v>2186</v>
      </c>
    </row>
  </sheetData>
  <mergeCells count="61">
    <mergeCell ref="E75:E77"/>
    <mergeCell ref="A78:B81"/>
    <mergeCell ref="C78:C81"/>
    <mergeCell ref="E78:E79"/>
    <mergeCell ref="E61:E63"/>
    <mergeCell ref="B64:B69"/>
    <mergeCell ref="C64:C65"/>
    <mergeCell ref="E64:E65"/>
    <mergeCell ref="C66:C68"/>
    <mergeCell ref="E66:E68"/>
    <mergeCell ref="E69:E71"/>
    <mergeCell ref="C70:C72"/>
    <mergeCell ref="E72:E74"/>
    <mergeCell ref="E47:E49"/>
    <mergeCell ref="B50:B63"/>
    <mergeCell ref="C50:C51"/>
    <mergeCell ref="E50:E51"/>
    <mergeCell ref="C52:C54"/>
    <mergeCell ref="E52:E54"/>
    <mergeCell ref="C55:C57"/>
    <mergeCell ref="E55:E57"/>
    <mergeCell ref="C58:C60"/>
    <mergeCell ref="E58:E60"/>
    <mergeCell ref="A36:A63"/>
    <mergeCell ref="B36:B49"/>
    <mergeCell ref="C36:C37"/>
    <mergeCell ref="E36:E37"/>
    <mergeCell ref="C38:C41"/>
    <mergeCell ref="E38:E40"/>
    <mergeCell ref="E41:E43"/>
    <mergeCell ref="C42:C43"/>
    <mergeCell ref="C44:C49"/>
    <mergeCell ref="E44:E46"/>
    <mergeCell ref="A24:A35"/>
    <mergeCell ref="B24:B30"/>
    <mergeCell ref="C24:C30"/>
    <mergeCell ref="E24:E25"/>
    <mergeCell ref="E26:E28"/>
    <mergeCell ref="E29:E30"/>
    <mergeCell ref="B31:B35"/>
    <mergeCell ref="C31:C35"/>
    <mergeCell ref="E31:E33"/>
    <mergeCell ref="E34:E35"/>
    <mergeCell ref="C12:C15"/>
    <mergeCell ref="E12:E14"/>
    <mergeCell ref="B16:B19"/>
    <mergeCell ref="C16:C19"/>
    <mergeCell ref="E16:E18"/>
    <mergeCell ref="B20:B23"/>
    <mergeCell ref="C20:C23"/>
    <mergeCell ref="E20:E21"/>
    <mergeCell ref="A3:B3"/>
    <mergeCell ref="D3:E3"/>
    <mergeCell ref="A4:A23"/>
    <mergeCell ref="B4:B7"/>
    <mergeCell ref="C4:C7"/>
    <mergeCell ref="E4:E5"/>
    <mergeCell ref="B8:B11"/>
    <mergeCell ref="C8:C11"/>
    <mergeCell ref="E8:E10"/>
    <mergeCell ref="B12:B15"/>
  </mergeCells>
  <phoneticPr fontId="6"/>
  <hyperlinks>
    <hyperlink ref="A83" r:id="rId1" xr:uid="{AF19E9F6-6CB3-4E0A-8D40-280E838C9227}"/>
  </hyperlinks>
  <pageMargins left="0.70866141732283472" right="0.70866141732283472" top="0.55118110236220474" bottom="0.35433070866141736" header="0.31496062992125984" footer="0.31496062992125984"/>
  <pageSetup paperSize="9" scale="95" orientation="portrait" r:id="rId2"/>
  <headerFooter alignWithMargins="0"/>
  <rowBreaks count="1" manualBreakCount="1">
    <brk id="63" max="5" man="1"/>
  </row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E58EAA-F3B6-4395-8657-79A828E6C78C}">
  <dimension ref="A1:G216"/>
  <sheetViews>
    <sheetView showGridLines="0" view="pageBreakPreview" zoomScale="90" zoomScaleNormal="120" zoomScaleSheetLayoutView="90" workbookViewId="0">
      <selection activeCell="J23" sqref="J23"/>
    </sheetView>
  </sheetViews>
  <sheetFormatPr defaultColWidth="9" defaultRowHeight="13.5" customHeight="1"/>
  <cols>
    <col min="1" max="2" width="7.6328125" style="2778" customWidth="1"/>
    <col min="3" max="3" width="9.6328125" style="2778" customWidth="1"/>
    <col min="4" max="4" width="20" style="2778" customWidth="1"/>
    <col min="5" max="5" width="2.6328125" style="2826" customWidth="1"/>
    <col min="6" max="6" width="33.08984375" style="2778" customWidth="1"/>
    <col min="7" max="7" width="7.6328125" style="2778" customWidth="1"/>
    <col min="8" max="256" width="9" style="2778"/>
    <col min="257" max="258" width="7.6328125" style="2778" customWidth="1"/>
    <col min="259" max="259" width="9.6328125" style="2778" customWidth="1"/>
    <col min="260" max="260" width="20" style="2778" customWidth="1"/>
    <col min="261" max="261" width="2.6328125" style="2778" customWidth="1"/>
    <col min="262" max="262" width="33.08984375" style="2778" customWidth="1"/>
    <col min="263" max="263" width="7.6328125" style="2778" customWidth="1"/>
    <col min="264" max="512" width="9" style="2778"/>
    <col min="513" max="514" width="7.6328125" style="2778" customWidth="1"/>
    <col min="515" max="515" width="9.6328125" style="2778" customWidth="1"/>
    <col min="516" max="516" width="20" style="2778" customWidth="1"/>
    <col min="517" max="517" width="2.6328125" style="2778" customWidth="1"/>
    <col min="518" max="518" width="33.08984375" style="2778" customWidth="1"/>
    <col min="519" max="519" width="7.6328125" style="2778" customWidth="1"/>
    <col min="520" max="768" width="9" style="2778"/>
    <col min="769" max="770" width="7.6328125" style="2778" customWidth="1"/>
    <col min="771" max="771" width="9.6328125" style="2778" customWidth="1"/>
    <col min="772" max="772" width="20" style="2778" customWidth="1"/>
    <col min="773" max="773" width="2.6328125" style="2778" customWidth="1"/>
    <col min="774" max="774" width="33.08984375" style="2778" customWidth="1"/>
    <col min="775" max="775" width="7.6328125" style="2778" customWidth="1"/>
    <col min="776" max="1024" width="9" style="2778"/>
    <col min="1025" max="1026" width="7.6328125" style="2778" customWidth="1"/>
    <col min="1027" max="1027" width="9.6328125" style="2778" customWidth="1"/>
    <col min="1028" max="1028" width="20" style="2778" customWidth="1"/>
    <col min="1029" max="1029" width="2.6328125" style="2778" customWidth="1"/>
    <col min="1030" max="1030" width="33.08984375" style="2778" customWidth="1"/>
    <col min="1031" max="1031" width="7.6328125" style="2778" customWidth="1"/>
    <col min="1032" max="1280" width="9" style="2778"/>
    <col min="1281" max="1282" width="7.6328125" style="2778" customWidth="1"/>
    <col min="1283" max="1283" width="9.6328125" style="2778" customWidth="1"/>
    <col min="1284" max="1284" width="20" style="2778" customWidth="1"/>
    <col min="1285" max="1285" width="2.6328125" style="2778" customWidth="1"/>
    <col min="1286" max="1286" width="33.08984375" style="2778" customWidth="1"/>
    <col min="1287" max="1287" width="7.6328125" style="2778" customWidth="1"/>
    <col min="1288" max="1536" width="9" style="2778"/>
    <col min="1537" max="1538" width="7.6328125" style="2778" customWidth="1"/>
    <col min="1539" max="1539" width="9.6328125" style="2778" customWidth="1"/>
    <col min="1540" max="1540" width="20" style="2778" customWidth="1"/>
    <col min="1541" max="1541" width="2.6328125" style="2778" customWidth="1"/>
    <col min="1542" max="1542" width="33.08984375" style="2778" customWidth="1"/>
    <col min="1543" max="1543" width="7.6328125" style="2778" customWidth="1"/>
    <col min="1544" max="1792" width="9" style="2778"/>
    <col min="1793" max="1794" width="7.6328125" style="2778" customWidth="1"/>
    <col min="1795" max="1795" width="9.6328125" style="2778" customWidth="1"/>
    <col min="1796" max="1796" width="20" style="2778" customWidth="1"/>
    <col min="1797" max="1797" width="2.6328125" style="2778" customWidth="1"/>
    <col min="1798" max="1798" width="33.08984375" style="2778" customWidth="1"/>
    <col min="1799" max="1799" width="7.6328125" style="2778" customWidth="1"/>
    <col min="1800" max="2048" width="9" style="2778"/>
    <col min="2049" max="2050" width="7.6328125" style="2778" customWidth="1"/>
    <col min="2051" max="2051" width="9.6328125" style="2778" customWidth="1"/>
    <col min="2052" max="2052" width="20" style="2778" customWidth="1"/>
    <col min="2053" max="2053" width="2.6328125" style="2778" customWidth="1"/>
    <col min="2054" max="2054" width="33.08984375" style="2778" customWidth="1"/>
    <col min="2055" max="2055" width="7.6328125" style="2778" customWidth="1"/>
    <col min="2056" max="2304" width="9" style="2778"/>
    <col min="2305" max="2306" width="7.6328125" style="2778" customWidth="1"/>
    <col min="2307" max="2307" width="9.6328125" style="2778" customWidth="1"/>
    <col min="2308" max="2308" width="20" style="2778" customWidth="1"/>
    <col min="2309" max="2309" width="2.6328125" style="2778" customWidth="1"/>
    <col min="2310" max="2310" width="33.08984375" style="2778" customWidth="1"/>
    <col min="2311" max="2311" width="7.6328125" style="2778" customWidth="1"/>
    <col min="2312" max="2560" width="9" style="2778"/>
    <col min="2561" max="2562" width="7.6328125" style="2778" customWidth="1"/>
    <col min="2563" max="2563" width="9.6328125" style="2778" customWidth="1"/>
    <col min="2564" max="2564" width="20" style="2778" customWidth="1"/>
    <col min="2565" max="2565" width="2.6328125" style="2778" customWidth="1"/>
    <col min="2566" max="2566" width="33.08984375" style="2778" customWidth="1"/>
    <col min="2567" max="2567" width="7.6328125" style="2778" customWidth="1"/>
    <col min="2568" max="2816" width="9" style="2778"/>
    <col min="2817" max="2818" width="7.6328125" style="2778" customWidth="1"/>
    <col min="2819" max="2819" width="9.6328125" style="2778" customWidth="1"/>
    <col min="2820" max="2820" width="20" style="2778" customWidth="1"/>
    <col min="2821" max="2821" width="2.6328125" style="2778" customWidth="1"/>
    <col min="2822" max="2822" width="33.08984375" style="2778" customWidth="1"/>
    <col min="2823" max="2823" width="7.6328125" style="2778" customWidth="1"/>
    <col min="2824" max="3072" width="9" style="2778"/>
    <col min="3073" max="3074" width="7.6328125" style="2778" customWidth="1"/>
    <col min="3075" max="3075" width="9.6328125" style="2778" customWidth="1"/>
    <col min="3076" max="3076" width="20" style="2778" customWidth="1"/>
    <col min="3077" max="3077" width="2.6328125" style="2778" customWidth="1"/>
    <col min="3078" max="3078" width="33.08984375" style="2778" customWidth="1"/>
    <col min="3079" max="3079" width="7.6328125" style="2778" customWidth="1"/>
    <col min="3080" max="3328" width="9" style="2778"/>
    <col min="3329" max="3330" width="7.6328125" style="2778" customWidth="1"/>
    <col min="3331" max="3331" width="9.6328125" style="2778" customWidth="1"/>
    <col min="3332" max="3332" width="20" style="2778" customWidth="1"/>
    <col min="3333" max="3333" width="2.6328125" style="2778" customWidth="1"/>
    <col min="3334" max="3334" width="33.08984375" style="2778" customWidth="1"/>
    <col min="3335" max="3335" width="7.6328125" style="2778" customWidth="1"/>
    <col min="3336" max="3584" width="9" style="2778"/>
    <col min="3585" max="3586" width="7.6328125" style="2778" customWidth="1"/>
    <col min="3587" max="3587" width="9.6328125" style="2778" customWidth="1"/>
    <col min="3588" max="3588" width="20" style="2778" customWidth="1"/>
    <col min="3589" max="3589" width="2.6328125" style="2778" customWidth="1"/>
    <col min="3590" max="3590" width="33.08984375" style="2778" customWidth="1"/>
    <col min="3591" max="3591" width="7.6328125" style="2778" customWidth="1"/>
    <col min="3592" max="3840" width="9" style="2778"/>
    <col min="3841" max="3842" width="7.6328125" style="2778" customWidth="1"/>
    <col min="3843" max="3843" width="9.6328125" style="2778" customWidth="1"/>
    <col min="3844" max="3844" width="20" style="2778" customWidth="1"/>
    <col min="3845" max="3845" width="2.6328125" style="2778" customWidth="1"/>
    <col min="3846" max="3846" width="33.08984375" style="2778" customWidth="1"/>
    <col min="3847" max="3847" width="7.6328125" style="2778" customWidth="1"/>
    <col min="3848" max="4096" width="9" style="2778"/>
    <col min="4097" max="4098" width="7.6328125" style="2778" customWidth="1"/>
    <col min="4099" max="4099" width="9.6328125" style="2778" customWidth="1"/>
    <col min="4100" max="4100" width="20" style="2778" customWidth="1"/>
    <col min="4101" max="4101" width="2.6328125" style="2778" customWidth="1"/>
    <col min="4102" max="4102" width="33.08984375" style="2778" customWidth="1"/>
    <col min="4103" max="4103" width="7.6328125" style="2778" customWidth="1"/>
    <col min="4104" max="4352" width="9" style="2778"/>
    <col min="4353" max="4354" width="7.6328125" style="2778" customWidth="1"/>
    <col min="4355" max="4355" width="9.6328125" style="2778" customWidth="1"/>
    <col min="4356" max="4356" width="20" style="2778" customWidth="1"/>
    <col min="4357" max="4357" width="2.6328125" style="2778" customWidth="1"/>
    <col min="4358" max="4358" width="33.08984375" style="2778" customWidth="1"/>
    <col min="4359" max="4359" width="7.6328125" style="2778" customWidth="1"/>
    <col min="4360" max="4608" width="9" style="2778"/>
    <col min="4609" max="4610" width="7.6328125" style="2778" customWidth="1"/>
    <col min="4611" max="4611" width="9.6328125" style="2778" customWidth="1"/>
    <col min="4612" max="4612" width="20" style="2778" customWidth="1"/>
    <col min="4613" max="4613" width="2.6328125" style="2778" customWidth="1"/>
    <col min="4614" max="4614" width="33.08984375" style="2778" customWidth="1"/>
    <col min="4615" max="4615" width="7.6328125" style="2778" customWidth="1"/>
    <col min="4616" max="4864" width="9" style="2778"/>
    <col min="4865" max="4866" width="7.6328125" style="2778" customWidth="1"/>
    <col min="4867" max="4867" width="9.6328125" style="2778" customWidth="1"/>
    <col min="4868" max="4868" width="20" style="2778" customWidth="1"/>
    <col min="4869" max="4869" width="2.6328125" style="2778" customWidth="1"/>
    <col min="4870" max="4870" width="33.08984375" style="2778" customWidth="1"/>
    <col min="4871" max="4871" width="7.6328125" style="2778" customWidth="1"/>
    <col min="4872" max="5120" width="9" style="2778"/>
    <col min="5121" max="5122" width="7.6328125" style="2778" customWidth="1"/>
    <col min="5123" max="5123" width="9.6328125" style="2778" customWidth="1"/>
    <col min="5124" max="5124" width="20" style="2778" customWidth="1"/>
    <col min="5125" max="5125" width="2.6328125" style="2778" customWidth="1"/>
    <col min="5126" max="5126" width="33.08984375" style="2778" customWidth="1"/>
    <col min="5127" max="5127" width="7.6328125" style="2778" customWidth="1"/>
    <col min="5128" max="5376" width="9" style="2778"/>
    <col min="5377" max="5378" width="7.6328125" style="2778" customWidth="1"/>
    <col min="5379" max="5379" width="9.6328125" style="2778" customWidth="1"/>
    <col min="5380" max="5380" width="20" style="2778" customWidth="1"/>
    <col min="5381" max="5381" width="2.6328125" style="2778" customWidth="1"/>
    <col min="5382" max="5382" width="33.08984375" style="2778" customWidth="1"/>
    <col min="5383" max="5383" width="7.6328125" style="2778" customWidth="1"/>
    <col min="5384" max="5632" width="9" style="2778"/>
    <col min="5633" max="5634" width="7.6328125" style="2778" customWidth="1"/>
    <col min="5635" max="5635" width="9.6328125" style="2778" customWidth="1"/>
    <col min="5636" max="5636" width="20" style="2778" customWidth="1"/>
    <col min="5637" max="5637" width="2.6328125" style="2778" customWidth="1"/>
    <col min="5638" max="5638" width="33.08984375" style="2778" customWidth="1"/>
    <col min="5639" max="5639" width="7.6328125" style="2778" customWidth="1"/>
    <col min="5640" max="5888" width="9" style="2778"/>
    <col min="5889" max="5890" width="7.6328125" style="2778" customWidth="1"/>
    <col min="5891" max="5891" width="9.6328125" style="2778" customWidth="1"/>
    <col min="5892" max="5892" width="20" style="2778" customWidth="1"/>
    <col min="5893" max="5893" width="2.6328125" style="2778" customWidth="1"/>
    <col min="5894" max="5894" width="33.08984375" style="2778" customWidth="1"/>
    <col min="5895" max="5895" width="7.6328125" style="2778" customWidth="1"/>
    <col min="5896" max="6144" width="9" style="2778"/>
    <col min="6145" max="6146" width="7.6328125" style="2778" customWidth="1"/>
    <col min="6147" max="6147" width="9.6328125" style="2778" customWidth="1"/>
    <col min="6148" max="6148" width="20" style="2778" customWidth="1"/>
    <col min="6149" max="6149" width="2.6328125" style="2778" customWidth="1"/>
    <col min="6150" max="6150" width="33.08984375" style="2778" customWidth="1"/>
    <col min="6151" max="6151" width="7.6328125" style="2778" customWidth="1"/>
    <col min="6152" max="6400" width="9" style="2778"/>
    <col min="6401" max="6402" width="7.6328125" style="2778" customWidth="1"/>
    <col min="6403" max="6403" width="9.6328125" style="2778" customWidth="1"/>
    <col min="6404" max="6404" width="20" style="2778" customWidth="1"/>
    <col min="6405" max="6405" width="2.6328125" style="2778" customWidth="1"/>
    <col min="6406" max="6406" width="33.08984375" style="2778" customWidth="1"/>
    <col min="6407" max="6407" width="7.6328125" style="2778" customWidth="1"/>
    <col min="6408" max="6656" width="9" style="2778"/>
    <col min="6657" max="6658" width="7.6328125" style="2778" customWidth="1"/>
    <col min="6659" max="6659" width="9.6328125" style="2778" customWidth="1"/>
    <col min="6660" max="6660" width="20" style="2778" customWidth="1"/>
    <col min="6661" max="6661" width="2.6328125" style="2778" customWidth="1"/>
    <col min="6662" max="6662" width="33.08984375" style="2778" customWidth="1"/>
    <col min="6663" max="6663" width="7.6328125" style="2778" customWidth="1"/>
    <col min="6664" max="6912" width="9" style="2778"/>
    <col min="6913" max="6914" width="7.6328125" style="2778" customWidth="1"/>
    <col min="6915" max="6915" width="9.6328125" style="2778" customWidth="1"/>
    <col min="6916" max="6916" width="20" style="2778" customWidth="1"/>
    <col min="6917" max="6917" width="2.6328125" style="2778" customWidth="1"/>
    <col min="6918" max="6918" width="33.08984375" style="2778" customWidth="1"/>
    <col min="6919" max="6919" width="7.6328125" style="2778" customWidth="1"/>
    <col min="6920" max="7168" width="9" style="2778"/>
    <col min="7169" max="7170" width="7.6328125" style="2778" customWidth="1"/>
    <col min="7171" max="7171" width="9.6328125" style="2778" customWidth="1"/>
    <col min="7172" max="7172" width="20" style="2778" customWidth="1"/>
    <col min="7173" max="7173" width="2.6328125" style="2778" customWidth="1"/>
    <col min="7174" max="7174" width="33.08984375" style="2778" customWidth="1"/>
    <col min="7175" max="7175" width="7.6328125" style="2778" customWidth="1"/>
    <col min="7176" max="7424" width="9" style="2778"/>
    <col min="7425" max="7426" width="7.6328125" style="2778" customWidth="1"/>
    <col min="7427" max="7427" width="9.6328125" style="2778" customWidth="1"/>
    <col min="7428" max="7428" width="20" style="2778" customWidth="1"/>
    <col min="7429" max="7429" width="2.6328125" style="2778" customWidth="1"/>
    <col min="7430" max="7430" width="33.08984375" style="2778" customWidth="1"/>
    <col min="7431" max="7431" width="7.6328125" style="2778" customWidth="1"/>
    <col min="7432" max="7680" width="9" style="2778"/>
    <col min="7681" max="7682" width="7.6328125" style="2778" customWidth="1"/>
    <col min="7683" max="7683" width="9.6328125" style="2778" customWidth="1"/>
    <col min="7684" max="7684" width="20" style="2778" customWidth="1"/>
    <col min="7685" max="7685" width="2.6328125" style="2778" customWidth="1"/>
    <col min="7686" max="7686" width="33.08984375" style="2778" customWidth="1"/>
    <col min="7687" max="7687" width="7.6328125" style="2778" customWidth="1"/>
    <col min="7688" max="7936" width="9" style="2778"/>
    <col min="7937" max="7938" width="7.6328125" style="2778" customWidth="1"/>
    <col min="7939" max="7939" width="9.6328125" style="2778" customWidth="1"/>
    <col min="7940" max="7940" width="20" style="2778" customWidth="1"/>
    <col min="7941" max="7941" width="2.6328125" style="2778" customWidth="1"/>
    <col min="7942" max="7942" width="33.08984375" style="2778" customWidth="1"/>
    <col min="7943" max="7943" width="7.6328125" style="2778" customWidth="1"/>
    <col min="7944" max="8192" width="9" style="2778"/>
    <col min="8193" max="8194" width="7.6328125" style="2778" customWidth="1"/>
    <col min="8195" max="8195" width="9.6328125" style="2778" customWidth="1"/>
    <col min="8196" max="8196" width="20" style="2778" customWidth="1"/>
    <col min="8197" max="8197" width="2.6328125" style="2778" customWidth="1"/>
    <col min="8198" max="8198" width="33.08984375" style="2778" customWidth="1"/>
    <col min="8199" max="8199" width="7.6328125" style="2778" customWidth="1"/>
    <col min="8200" max="8448" width="9" style="2778"/>
    <col min="8449" max="8450" width="7.6328125" style="2778" customWidth="1"/>
    <col min="8451" max="8451" width="9.6328125" style="2778" customWidth="1"/>
    <col min="8452" max="8452" width="20" style="2778" customWidth="1"/>
    <col min="8453" max="8453" width="2.6328125" style="2778" customWidth="1"/>
    <col min="8454" max="8454" width="33.08984375" style="2778" customWidth="1"/>
    <col min="8455" max="8455" width="7.6328125" style="2778" customWidth="1"/>
    <col min="8456" max="8704" width="9" style="2778"/>
    <col min="8705" max="8706" width="7.6328125" style="2778" customWidth="1"/>
    <col min="8707" max="8707" width="9.6328125" style="2778" customWidth="1"/>
    <col min="8708" max="8708" width="20" style="2778" customWidth="1"/>
    <col min="8709" max="8709" width="2.6328125" style="2778" customWidth="1"/>
    <col min="8710" max="8710" width="33.08984375" style="2778" customWidth="1"/>
    <col min="8711" max="8711" width="7.6328125" style="2778" customWidth="1"/>
    <col min="8712" max="8960" width="9" style="2778"/>
    <col min="8961" max="8962" width="7.6328125" style="2778" customWidth="1"/>
    <col min="8963" max="8963" width="9.6328125" style="2778" customWidth="1"/>
    <col min="8964" max="8964" width="20" style="2778" customWidth="1"/>
    <col min="8965" max="8965" width="2.6328125" style="2778" customWidth="1"/>
    <col min="8966" max="8966" width="33.08984375" style="2778" customWidth="1"/>
    <col min="8967" max="8967" width="7.6328125" style="2778" customWidth="1"/>
    <col min="8968" max="9216" width="9" style="2778"/>
    <col min="9217" max="9218" width="7.6328125" style="2778" customWidth="1"/>
    <col min="9219" max="9219" width="9.6328125" style="2778" customWidth="1"/>
    <col min="9220" max="9220" width="20" style="2778" customWidth="1"/>
    <col min="9221" max="9221" width="2.6328125" style="2778" customWidth="1"/>
    <col min="9222" max="9222" width="33.08984375" style="2778" customWidth="1"/>
    <col min="9223" max="9223" width="7.6328125" style="2778" customWidth="1"/>
    <col min="9224" max="9472" width="9" style="2778"/>
    <col min="9473" max="9474" width="7.6328125" style="2778" customWidth="1"/>
    <col min="9475" max="9475" width="9.6328125" style="2778" customWidth="1"/>
    <col min="9476" max="9476" width="20" style="2778" customWidth="1"/>
    <col min="9477" max="9477" width="2.6328125" style="2778" customWidth="1"/>
    <col min="9478" max="9478" width="33.08984375" style="2778" customWidth="1"/>
    <col min="9479" max="9479" width="7.6328125" style="2778" customWidth="1"/>
    <col min="9480" max="9728" width="9" style="2778"/>
    <col min="9729" max="9730" width="7.6328125" style="2778" customWidth="1"/>
    <col min="9731" max="9731" width="9.6328125" style="2778" customWidth="1"/>
    <col min="9732" max="9732" width="20" style="2778" customWidth="1"/>
    <col min="9733" max="9733" width="2.6328125" style="2778" customWidth="1"/>
    <col min="9734" max="9734" width="33.08984375" style="2778" customWidth="1"/>
    <col min="9735" max="9735" width="7.6328125" style="2778" customWidth="1"/>
    <col min="9736" max="9984" width="9" style="2778"/>
    <col min="9985" max="9986" width="7.6328125" style="2778" customWidth="1"/>
    <col min="9987" max="9987" width="9.6328125" style="2778" customWidth="1"/>
    <col min="9988" max="9988" width="20" style="2778" customWidth="1"/>
    <col min="9989" max="9989" width="2.6328125" style="2778" customWidth="1"/>
    <col min="9990" max="9990" width="33.08984375" style="2778" customWidth="1"/>
    <col min="9991" max="9991" width="7.6328125" style="2778" customWidth="1"/>
    <col min="9992" max="10240" width="9" style="2778"/>
    <col min="10241" max="10242" width="7.6328125" style="2778" customWidth="1"/>
    <col min="10243" max="10243" width="9.6328125" style="2778" customWidth="1"/>
    <col min="10244" max="10244" width="20" style="2778" customWidth="1"/>
    <col min="10245" max="10245" width="2.6328125" style="2778" customWidth="1"/>
    <col min="10246" max="10246" width="33.08984375" style="2778" customWidth="1"/>
    <col min="10247" max="10247" width="7.6328125" style="2778" customWidth="1"/>
    <col min="10248" max="10496" width="9" style="2778"/>
    <col min="10497" max="10498" width="7.6328125" style="2778" customWidth="1"/>
    <col min="10499" max="10499" width="9.6328125" style="2778" customWidth="1"/>
    <col min="10500" max="10500" width="20" style="2778" customWidth="1"/>
    <col min="10501" max="10501" width="2.6328125" style="2778" customWidth="1"/>
    <col min="10502" max="10502" width="33.08984375" style="2778" customWidth="1"/>
    <col min="10503" max="10503" width="7.6328125" style="2778" customWidth="1"/>
    <col min="10504" max="10752" width="9" style="2778"/>
    <col min="10753" max="10754" width="7.6328125" style="2778" customWidth="1"/>
    <col min="10755" max="10755" width="9.6328125" style="2778" customWidth="1"/>
    <col min="10756" max="10756" width="20" style="2778" customWidth="1"/>
    <col min="10757" max="10757" width="2.6328125" style="2778" customWidth="1"/>
    <col min="10758" max="10758" width="33.08984375" style="2778" customWidth="1"/>
    <col min="10759" max="10759" width="7.6328125" style="2778" customWidth="1"/>
    <col min="10760" max="11008" width="9" style="2778"/>
    <col min="11009" max="11010" width="7.6328125" style="2778" customWidth="1"/>
    <col min="11011" max="11011" width="9.6328125" style="2778" customWidth="1"/>
    <col min="11012" max="11012" width="20" style="2778" customWidth="1"/>
    <col min="11013" max="11013" width="2.6328125" style="2778" customWidth="1"/>
    <col min="11014" max="11014" width="33.08984375" style="2778" customWidth="1"/>
    <col min="11015" max="11015" width="7.6328125" style="2778" customWidth="1"/>
    <col min="11016" max="11264" width="9" style="2778"/>
    <col min="11265" max="11266" width="7.6328125" style="2778" customWidth="1"/>
    <col min="11267" max="11267" width="9.6328125" style="2778" customWidth="1"/>
    <col min="11268" max="11268" width="20" style="2778" customWidth="1"/>
    <col min="11269" max="11269" width="2.6328125" style="2778" customWidth="1"/>
    <col min="11270" max="11270" width="33.08984375" style="2778" customWidth="1"/>
    <col min="11271" max="11271" width="7.6328125" style="2778" customWidth="1"/>
    <col min="11272" max="11520" width="9" style="2778"/>
    <col min="11521" max="11522" width="7.6328125" style="2778" customWidth="1"/>
    <col min="11523" max="11523" width="9.6328125" style="2778" customWidth="1"/>
    <col min="11524" max="11524" width="20" style="2778" customWidth="1"/>
    <col min="11525" max="11525" width="2.6328125" style="2778" customWidth="1"/>
    <col min="11526" max="11526" width="33.08984375" style="2778" customWidth="1"/>
    <col min="11527" max="11527" width="7.6328125" style="2778" customWidth="1"/>
    <col min="11528" max="11776" width="9" style="2778"/>
    <col min="11777" max="11778" width="7.6328125" style="2778" customWidth="1"/>
    <col min="11779" max="11779" width="9.6328125" style="2778" customWidth="1"/>
    <col min="11780" max="11780" width="20" style="2778" customWidth="1"/>
    <col min="11781" max="11781" width="2.6328125" style="2778" customWidth="1"/>
    <col min="11782" max="11782" width="33.08984375" style="2778" customWidth="1"/>
    <col min="11783" max="11783" width="7.6328125" style="2778" customWidth="1"/>
    <col min="11784" max="12032" width="9" style="2778"/>
    <col min="12033" max="12034" width="7.6328125" style="2778" customWidth="1"/>
    <col min="12035" max="12035" width="9.6328125" style="2778" customWidth="1"/>
    <col min="12036" max="12036" width="20" style="2778" customWidth="1"/>
    <col min="12037" max="12037" width="2.6328125" style="2778" customWidth="1"/>
    <col min="12038" max="12038" width="33.08984375" style="2778" customWidth="1"/>
    <col min="12039" max="12039" width="7.6328125" style="2778" customWidth="1"/>
    <col min="12040" max="12288" width="9" style="2778"/>
    <col min="12289" max="12290" width="7.6328125" style="2778" customWidth="1"/>
    <col min="12291" max="12291" width="9.6328125" style="2778" customWidth="1"/>
    <col min="12292" max="12292" width="20" style="2778" customWidth="1"/>
    <col min="12293" max="12293" width="2.6328125" style="2778" customWidth="1"/>
    <col min="12294" max="12294" width="33.08984375" style="2778" customWidth="1"/>
    <col min="12295" max="12295" width="7.6328125" style="2778" customWidth="1"/>
    <col min="12296" max="12544" width="9" style="2778"/>
    <col min="12545" max="12546" width="7.6328125" style="2778" customWidth="1"/>
    <col min="12547" max="12547" width="9.6328125" style="2778" customWidth="1"/>
    <col min="12548" max="12548" width="20" style="2778" customWidth="1"/>
    <col min="12549" max="12549" width="2.6328125" style="2778" customWidth="1"/>
    <col min="12550" max="12550" width="33.08984375" style="2778" customWidth="1"/>
    <col min="12551" max="12551" width="7.6328125" style="2778" customWidth="1"/>
    <col min="12552" max="12800" width="9" style="2778"/>
    <col min="12801" max="12802" width="7.6328125" style="2778" customWidth="1"/>
    <col min="12803" max="12803" width="9.6328125" style="2778" customWidth="1"/>
    <col min="12804" max="12804" width="20" style="2778" customWidth="1"/>
    <col min="12805" max="12805" width="2.6328125" style="2778" customWidth="1"/>
    <col min="12806" max="12806" width="33.08984375" style="2778" customWidth="1"/>
    <col min="12807" max="12807" width="7.6328125" style="2778" customWidth="1"/>
    <col min="12808" max="13056" width="9" style="2778"/>
    <col min="13057" max="13058" width="7.6328125" style="2778" customWidth="1"/>
    <col min="13059" max="13059" width="9.6328125" style="2778" customWidth="1"/>
    <col min="13060" max="13060" width="20" style="2778" customWidth="1"/>
    <col min="13061" max="13061" width="2.6328125" style="2778" customWidth="1"/>
    <col min="13062" max="13062" width="33.08984375" style="2778" customWidth="1"/>
    <col min="13063" max="13063" width="7.6328125" style="2778" customWidth="1"/>
    <col min="13064" max="13312" width="9" style="2778"/>
    <col min="13313" max="13314" width="7.6328125" style="2778" customWidth="1"/>
    <col min="13315" max="13315" width="9.6328125" style="2778" customWidth="1"/>
    <col min="13316" max="13316" width="20" style="2778" customWidth="1"/>
    <col min="13317" max="13317" width="2.6328125" style="2778" customWidth="1"/>
    <col min="13318" max="13318" width="33.08984375" style="2778" customWidth="1"/>
    <col min="13319" max="13319" width="7.6328125" style="2778" customWidth="1"/>
    <col min="13320" max="13568" width="9" style="2778"/>
    <col min="13569" max="13570" width="7.6328125" style="2778" customWidth="1"/>
    <col min="13571" max="13571" width="9.6328125" style="2778" customWidth="1"/>
    <col min="13572" max="13572" width="20" style="2778" customWidth="1"/>
    <col min="13573" max="13573" width="2.6328125" style="2778" customWidth="1"/>
    <col min="13574" max="13574" width="33.08984375" style="2778" customWidth="1"/>
    <col min="13575" max="13575" width="7.6328125" style="2778" customWidth="1"/>
    <col min="13576" max="13824" width="9" style="2778"/>
    <col min="13825" max="13826" width="7.6328125" style="2778" customWidth="1"/>
    <col min="13827" max="13827" width="9.6328125" style="2778" customWidth="1"/>
    <col min="13828" max="13828" width="20" style="2778" customWidth="1"/>
    <col min="13829" max="13829" width="2.6328125" style="2778" customWidth="1"/>
    <col min="13830" max="13830" width="33.08984375" style="2778" customWidth="1"/>
    <col min="13831" max="13831" width="7.6328125" style="2778" customWidth="1"/>
    <col min="13832" max="14080" width="9" style="2778"/>
    <col min="14081" max="14082" width="7.6328125" style="2778" customWidth="1"/>
    <col min="14083" max="14083" width="9.6328125" style="2778" customWidth="1"/>
    <col min="14084" max="14084" width="20" style="2778" customWidth="1"/>
    <col min="14085" max="14085" width="2.6328125" style="2778" customWidth="1"/>
    <col min="14086" max="14086" width="33.08984375" style="2778" customWidth="1"/>
    <col min="14087" max="14087" width="7.6328125" style="2778" customWidth="1"/>
    <col min="14088" max="14336" width="9" style="2778"/>
    <col min="14337" max="14338" width="7.6328125" style="2778" customWidth="1"/>
    <col min="14339" max="14339" width="9.6328125" style="2778" customWidth="1"/>
    <col min="14340" max="14340" width="20" style="2778" customWidth="1"/>
    <col min="14341" max="14341" width="2.6328125" style="2778" customWidth="1"/>
    <col min="14342" max="14342" width="33.08984375" style="2778" customWidth="1"/>
    <col min="14343" max="14343" width="7.6328125" style="2778" customWidth="1"/>
    <col min="14344" max="14592" width="9" style="2778"/>
    <col min="14593" max="14594" width="7.6328125" style="2778" customWidth="1"/>
    <col min="14595" max="14595" width="9.6328125" style="2778" customWidth="1"/>
    <col min="14596" max="14596" width="20" style="2778" customWidth="1"/>
    <col min="14597" max="14597" width="2.6328125" style="2778" customWidth="1"/>
    <col min="14598" max="14598" width="33.08984375" style="2778" customWidth="1"/>
    <col min="14599" max="14599" width="7.6328125" style="2778" customWidth="1"/>
    <col min="14600" max="14848" width="9" style="2778"/>
    <col min="14849" max="14850" width="7.6328125" style="2778" customWidth="1"/>
    <col min="14851" max="14851" width="9.6328125" style="2778" customWidth="1"/>
    <col min="14852" max="14852" width="20" style="2778" customWidth="1"/>
    <col min="14853" max="14853" width="2.6328125" style="2778" customWidth="1"/>
    <col min="14854" max="14854" width="33.08984375" style="2778" customWidth="1"/>
    <col min="14855" max="14855" width="7.6328125" style="2778" customWidth="1"/>
    <col min="14856" max="15104" width="9" style="2778"/>
    <col min="15105" max="15106" width="7.6328125" style="2778" customWidth="1"/>
    <col min="15107" max="15107" width="9.6328125" style="2778" customWidth="1"/>
    <col min="15108" max="15108" width="20" style="2778" customWidth="1"/>
    <col min="15109" max="15109" width="2.6328125" style="2778" customWidth="1"/>
    <col min="15110" max="15110" width="33.08984375" style="2778" customWidth="1"/>
    <col min="15111" max="15111" width="7.6328125" style="2778" customWidth="1"/>
    <col min="15112" max="15360" width="9" style="2778"/>
    <col min="15361" max="15362" width="7.6328125" style="2778" customWidth="1"/>
    <col min="15363" max="15363" width="9.6328125" style="2778" customWidth="1"/>
    <col min="15364" max="15364" width="20" style="2778" customWidth="1"/>
    <col min="15365" max="15365" width="2.6328125" style="2778" customWidth="1"/>
    <col min="15366" max="15366" width="33.08984375" style="2778" customWidth="1"/>
    <col min="15367" max="15367" width="7.6328125" style="2778" customWidth="1"/>
    <col min="15368" max="15616" width="9" style="2778"/>
    <col min="15617" max="15618" width="7.6328125" style="2778" customWidth="1"/>
    <col min="15619" max="15619" width="9.6328125" style="2778" customWidth="1"/>
    <col min="15620" max="15620" width="20" style="2778" customWidth="1"/>
    <col min="15621" max="15621" width="2.6328125" style="2778" customWidth="1"/>
    <col min="15622" max="15622" width="33.08984375" style="2778" customWidth="1"/>
    <col min="15623" max="15623" width="7.6328125" style="2778" customWidth="1"/>
    <col min="15624" max="15872" width="9" style="2778"/>
    <col min="15873" max="15874" width="7.6328125" style="2778" customWidth="1"/>
    <col min="15875" max="15875" width="9.6328125" style="2778" customWidth="1"/>
    <col min="15876" max="15876" width="20" style="2778" customWidth="1"/>
    <col min="15877" max="15877" width="2.6328125" style="2778" customWidth="1"/>
    <col min="15878" max="15878" width="33.08984375" style="2778" customWidth="1"/>
    <col min="15879" max="15879" width="7.6328125" style="2778" customWidth="1"/>
    <col min="15880" max="16128" width="9" style="2778"/>
    <col min="16129" max="16130" width="7.6328125" style="2778" customWidth="1"/>
    <col min="16131" max="16131" width="9.6328125" style="2778" customWidth="1"/>
    <col min="16132" max="16132" width="20" style="2778" customWidth="1"/>
    <col min="16133" max="16133" width="2.6328125" style="2778" customWidth="1"/>
    <col min="16134" max="16134" width="33.08984375" style="2778" customWidth="1"/>
    <col min="16135" max="16135" width="7.6328125" style="2778" customWidth="1"/>
    <col min="16136" max="16384" width="9" style="2778"/>
  </cols>
  <sheetData>
    <row r="1" spans="1:7" s="2773" customFormat="1" ht="13.5" customHeight="1">
      <c r="A1" s="2773" t="s">
        <v>1966</v>
      </c>
      <c r="E1" s="2774"/>
    </row>
    <row r="2" spans="1:7" ht="13.5" customHeight="1">
      <c r="A2" s="2775"/>
      <c r="B2" s="2775"/>
      <c r="C2" s="2775"/>
      <c r="D2" s="2775"/>
      <c r="E2" s="2776"/>
      <c r="F2" s="2775"/>
      <c r="G2" s="2777"/>
    </row>
    <row r="3" spans="1:7" s="2773" customFormat="1" ht="13.5" customHeight="1">
      <c r="A3" s="2779" t="s">
        <v>1907</v>
      </c>
      <c r="B3" s="2780"/>
      <c r="C3" s="2781"/>
      <c r="D3" s="2782" t="s">
        <v>1908</v>
      </c>
      <c r="E3" s="2779" t="s">
        <v>1909</v>
      </c>
      <c r="F3" s="2781"/>
      <c r="G3" s="2783" t="s">
        <v>1303</v>
      </c>
    </row>
    <row r="4" spans="1:7" ht="13.5" customHeight="1">
      <c r="A4" s="2784" t="s">
        <v>1967</v>
      </c>
      <c r="B4" s="2784" t="s">
        <v>1928</v>
      </c>
      <c r="C4" s="2784" t="s">
        <v>1929</v>
      </c>
      <c r="D4" s="2785" t="s">
        <v>1930</v>
      </c>
      <c r="E4" s="2786" t="s">
        <v>1912</v>
      </c>
      <c r="F4" s="2787" t="s">
        <v>1968</v>
      </c>
      <c r="G4" s="2788" t="s">
        <v>1931</v>
      </c>
    </row>
    <row r="5" spans="1:7" ht="13.5" customHeight="1">
      <c r="A5" s="2789"/>
      <c r="B5" s="2789"/>
      <c r="C5" s="2789"/>
      <c r="D5" s="2790"/>
      <c r="E5" s="2791"/>
      <c r="F5" s="2792"/>
      <c r="G5" s="2793" t="s">
        <v>1914</v>
      </c>
    </row>
    <row r="6" spans="1:7" ht="13.5" customHeight="1">
      <c r="A6" s="2789"/>
      <c r="B6" s="2789"/>
      <c r="C6" s="2789"/>
      <c r="D6" s="2790"/>
      <c r="E6" s="2791"/>
      <c r="F6" s="2794"/>
      <c r="G6" s="2795" t="s">
        <v>1923</v>
      </c>
    </row>
    <row r="7" spans="1:7" ht="13.5" customHeight="1">
      <c r="A7" s="2789"/>
      <c r="B7" s="2789"/>
      <c r="C7" s="2789"/>
      <c r="D7" s="2790"/>
      <c r="E7" s="2791"/>
      <c r="F7" s="2794"/>
      <c r="G7" s="2796" t="s">
        <v>1932</v>
      </c>
    </row>
    <row r="8" spans="1:7" ht="13.5" customHeight="1">
      <c r="A8" s="2789"/>
      <c r="B8" s="2789"/>
      <c r="C8" s="2784" t="s">
        <v>1933</v>
      </c>
      <c r="D8" s="2784" t="s">
        <v>1934</v>
      </c>
      <c r="E8" s="2786" t="s">
        <v>1912</v>
      </c>
      <c r="F8" s="2787" t="s">
        <v>1935</v>
      </c>
      <c r="G8" s="2797" t="s">
        <v>1931</v>
      </c>
    </row>
    <row r="9" spans="1:7" ht="13.5" customHeight="1">
      <c r="A9" s="2789"/>
      <c r="B9" s="2789"/>
      <c r="C9" s="2789"/>
      <c r="D9" s="2789"/>
      <c r="E9" s="2791"/>
      <c r="F9" s="2792"/>
      <c r="G9" s="2793" t="s">
        <v>1914</v>
      </c>
    </row>
    <row r="10" spans="1:7" ht="13.5" customHeight="1">
      <c r="A10" s="2789"/>
      <c r="B10" s="2789"/>
      <c r="C10" s="2789"/>
      <c r="D10" s="2789"/>
      <c r="E10" s="2791"/>
      <c r="F10" s="2792"/>
      <c r="G10" s="2795" t="s">
        <v>1923</v>
      </c>
    </row>
    <row r="11" spans="1:7" ht="13.5" customHeight="1">
      <c r="A11" s="2789"/>
      <c r="B11" s="2789"/>
      <c r="C11" s="2789"/>
      <c r="D11" s="2789"/>
      <c r="E11" s="2791"/>
      <c r="F11" s="2794"/>
      <c r="G11" s="2796" t="s">
        <v>1932</v>
      </c>
    </row>
    <row r="12" spans="1:7" ht="13.5" customHeight="1">
      <c r="A12" s="2789"/>
      <c r="B12" s="2789"/>
      <c r="C12" s="2784" t="s">
        <v>1936</v>
      </c>
      <c r="D12" s="2784" t="s">
        <v>1937</v>
      </c>
      <c r="E12" s="2786" t="s">
        <v>1912</v>
      </c>
      <c r="F12" s="2787" t="s">
        <v>1938</v>
      </c>
      <c r="G12" s="2797" t="s">
        <v>1931</v>
      </c>
    </row>
    <row r="13" spans="1:7" ht="13.5" customHeight="1">
      <c r="A13" s="2789"/>
      <c r="B13" s="2789"/>
      <c r="C13" s="2789"/>
      <c r="D13" s="2789"/>
      <c r="E13" s="2791"/>
      <c r="F13" s="2792"/>
      <c r="G13" s="2793" t="s">
        <v>1914</v>
      </c>
    </row>
    <row r="14" spans="1:7" ht="13.5" customHeight="1">
      <c r="A14" s="2789"/>
      <c r="B14" s="2789"/>
      <c r="C14" s="2789"/>
      <c r="D14" s="2789"/>
      <c r="E14" s="2791"/>
      <c r="F14" s="2792"/>
      <c r="G14" s="2795" t="s">
        <v>1923</v>
      </c>
    </row>
    <row r="15" spans="1:7" ht="13.5" customHeight="1">
      <c r="A15" s="2789"/>
      <c r="B15" s="2789"/>
      <c r="C15" s="2789"/>
      <c r="D15" s="2789"/>
      <c r="E15" s="2791"/>
      <c r="F15" s="2794"/>
      <c r="G15" s="2796" t="s">
        <v>1932</v>
      </c>
    </row>
    <row r="16" spans="1:7" ht="13.5" customHeight="1">
      <c r="A16" s="2789"/>
      <c r="B16" s="2789"/>
      <c r="C16" s="2784" t="s">
        <v>1939</v>
      </c>
      <c r="D16" s="2784" t="s">
        <v>1940</v>
      </c>
      <c r="E16" s="2786" t="s">
        <v>1912</v>
      </c>
      <c r="F16" s="2787" t="s">
        <v>1941</v>
      </c>
      <c r="G16" s="2797" t="s">
        <v>1931</v>
      </c>
    </row>
    <row r="17" spans="1:7" ht="13.5" customHeight="1">
      <c r="A17" s="2789"/>
      <c r="B17" s="2789"/>
      <c r="C17" s="2789"/>
      <c r="D17" s="2789"/>
      <c r="E17" s="2791"/>
      <c r="F17" s="2792"/>
      <c r="G17" s="2793" t="s">
        <v>1914</v>
      </c>
    </row>
    <row r="18" spans="1:7" ht="13.5" customHeight="1">
      <c r="A18" s="2789"/>
      <c r="B18" s="2789"/>
      <c r="C18" s="2789"/>
      <c r="D18" s="2789"/>
      <c r="E18" s="2791"/>
      <c r="F18" s="2792"/>
      <c r="G18" s="2795" t="s">
        <v>1923</v>
      </c>
    </row>
    <row r="19" spans="1:7" ht="13.5" customHeight="1">
      <c r="A19" s="2789"/>
      <c r="B19" s="2789"/>
      <c r="C19" s="2789"/>
      <c r="D19" s="2789"/>
      <c r="E19" s="2791"/>
      <c r="F19" s="2794"/>
      <c r="G19" s="2796" t="s">
        <v>1932</v>
      </c>
    </row>
    <row r="20" spans="1:7" ht="13.5" customHeight="1">
      <c r="A20" s="2789"/>
      <c r="B20" s="2789"/>
      <c r="C20" s="2784" t="s">
        <v>1942</v>
      </c>
      <c r="D20" s="2784" t="s">
        <v>1943</v>
      </c>
      <c r="E20" s="2786" t="s">
        <v>1912</v>
      </c>
      <c r="F20" s="2787" t="s">
        <v>1944</v>
      </c>
      <c r="G20" s="2797" t="s">
        <v>1931</v>
      </c>
    </row>
    <row r="21" spans="1:7" ht="13.5" customHeight="1">
      <c r="A21" s="2789"/>
      <c r="B21" s="2789"/>
      <c r="C21" s="2789"/>
      <c r="D21" s="2789"/>
      <c r="E21" s="2791"/>
      <c r="F21" s="2792"/>
      <c r="G21" s="2793" t="s">
        <v>1914</v>
      </c>
    </row>
    <row r="22" spans="1:7" ht="13.5" customHeight="1">
      <c r="A22" s="2789"/>
      <c r="B22" s="2789"/>
      <c r="C22" s="2789"/>
      <c r="D22" s="2789"/>
      <c r="E22" s="2791"/>
      <c r="F22" s="2794"/>
      <c r="G22" s="2795" t="s">
        <v>1923</v>
      </c>
    </row>
    <row r="23" spans="1:7" ht="13.5" customHeight="1">
      <c r="A23" s="2789"/>
      <c r="B23" s="2789"/>
      <c r="C23" s="2789"/>
      <c r="D23" s="2789"/>
      <c r="E23" s="2791"/>
      <c r="F23" s="2794"/>
      <c r="G23" s="2796" t="s">
        <v>1932</v>
      </c>
    </row>
    <row r="24" spans="1:7" ht="13.5" customHeight="1">
      <c r="A24" s="2789"/>
      <c r="B24" s="2784" t="s">
        <v>1945</v>
      </c>
      <c r="C24" s="2784" t="s">
        <v>1946</v>
      </c>
      <c r="D24" s="2785" t="s">
        <v>1947</v>
      </c>
      <c r="E24" s="2786" t="s">
        <v>1912</v>
      </c>
      <c r="F24" s="2787" t="s">
        <v>1948</v>
      </c>
      <c r="G24" s="2797"/>
    </row>
    <row r="25" spans="1:7" ht="13.5" customHeight="1">
      <c r="A25" s="2789"/>
      <c r="B25" s="2789"/>
      <c r="C25" s="2789"/>
      <c r="D25" s="2790"/>
      <c r="E25" s="2791"/>
      <c r="F25" s="2792"/>
      <c r="G25" s="2793" t="s">
        <v>1949</v>
      </c>
    </row>
    <row r="26" spans="1:7" ht="13.5" customHeight="1">
      <c r="A26" s="2789"/>
      <c r="B26" s="2789"/>
      <c r="C26" s="2789"/>
      <c r="D26" s="2790"/>
      <c r="E26" s="2791" t="s">
        <v>1912</v>
      </c>
      <c r="F26" s="2792" t="s">
        <v>1950</v>
      </c>
      <c r="G26" s="2795" t="s">
        <v>1951</v>
      </c>
    </row>
    <row r="27" spans="1:7" ht="13.5" customHeight="1">
      <c r="A27" s="2789"/>
      <c r="B27" s="2789"/>
      <c r="C27" s="2789"/>
      <c r="D27" s="2790"/>
      <c r="E27" s="2791"/>
      <c r="F27" s="2792"/>
      <c r="G27" s="2795" t="s">
        <v>1952</v>
      </c>
    </row>
    <row r="28" spans="1:7" ht="13.5" customHeight="1">
      <c r="A28" s="2789"/>
      <c r="B28" s="2789"/>
      <c r="C28" s="2789"/>
      <c r="D28" s="2790"/>
      <c r="E28" s="2791"/>
      <c r="F28" s="2792"/>
      <c r="G28" s="2795" t="s">
        <v>1953</v>
      </c>
    </row>
    <row r="29" spans="1:7" ht="13.5" customHeight="1">
      <c r="A29" s="2789"/>
      <c r="B29" s="2789"/>
      <c r="C29" s="2789"/>
      <c r="D29" s="2790"/>
      <c r="E29" s="2791" t="s">
        <v>1912</v>
      </c>
      <c r="F29" s="2792" t="s">
        <v>2187</v>
      </c>
      <c r="G29" s="2795"/>
    </row>
    <row r="30" spans="1:7" ht="13.5" customHeight="1">
      <c r="A30" s="2789"/>
      <c r="B30" s="2789"/>
      <c r="C30" s="2789"/>
      <c r="D30" s="2790"/>
      <c r="E30" s="2791"/>
      <c r="F30" s="2792"/>
      <c r="G30" s="2796"/>
    </row>
    <row r="31" spans="1:7" ht="13.5" customHeight="1">
      <c r="A31" s="2789"/>
      <c r="B31" s="2789"/>
      <c r="C31" s="2784" t="s">
        <v>1954</v>
      </c>
      <c r="D31" s="2784" t="s">
        <v>1955</v>
      </c>
      <c r="E31" s="2786" t="s">
        <v>1912</v>
      </c>
      <c r="F31" s="2787" t="s">
        <v>1956</v>
      </c>
      <c r="G31" s="2797" t="s">
        <v>1949</v>
      </c>
    </row>
    <row r="32" spans="1:7" ht="13.5" customHeight="1">
      <c r="A32" s="2789"/>
      <c r="B32" s="2789"/>
      <c r="C32" s="2789"/>
      <c r="D32" s="2789"/>
      <c r="E32" s="2791"/>
      <c r="F32" s="2792"/>
      <c r="G32" s="2793" t="s">
        <v>1951</v>
      </c>
    </row>
    <row r="33" spans="1:7" ht="13.5" customHeight="1">
      <c r="A33" s="2789"/>
      <c r="B33" s="2789"/>
      <c r="C33" s="2789"/>
      <c r="D33" s="2789"/>
      <c r="E33" s="2791"/>
      <c r="F33" s="2792"/>
      <c r="G33" s="2795" t="s">
        <v>1952</v>
      </c>
    </row>
    <row r="34" spans="1:7" ht="13.5" customHeight="1">
      <c r="A34" s="2789"/>
      <c r="B34" s="2789"/>
      <c r="C34" s="2789"/>
      <c r="D34" s="2789"/>
      <c r="E34" s="2791" t="s">
        <v>1912</v>
      </c>
      <c r="F34" s="2792" t="s">
        <v>2188</v>
      </c>
      <c r="G34" s="2795" t="s">
        <v>1932</v>
      </c>
    </row>
    <row r="35" spans="1:7" ht="13.5" customHeight="1">
      <c r="A35" s="2789"/>
      <c r="B35" s="2789"/>
      <c r="C35" s="2789"/>
      <c r="D35" s="2789"/>
      <c r="E35" s="2791"/>
      <c r="F35" s="2792"/>
      <c r="G35" s="2796"/>
    </row>
    <row r="36" spans="1:7" ht="13.5" customHeight="1">
      <c r="A36" s="2789"/>
      <c r="B36" s="2784" t="s">
        <v>1957</v>
      </c>
      <c r="C36" s="2784" t="s">
        <v>1958</v>
      </c>
      <c r="D36" s="2784" t="s">
        <v>1959</v>
      </c>
      <c r="E36" s="2786" t="s">
        <v>1912</v>
      </c>
      <c r="F36" s="2787" t="s">
        <v>1960</v>
      </c>
      <c r="G36" s="2797"/>
    </row>
    <row r="37" spans="1:7" ht="13.5" customHeight="1">
      <c r="A37" s="2789"/>
      <c r="B37" s="2789"/>
      <c r="C37" s="2789"/>
      <c r="D37" s="2789"/>
      <c r="E37" s="2791"/>
      <c r="F37" s="2792"/>
      <c r="G37" s="2793"/>
    </row>
    <row r="38" spans="1:7" ht="13.5" customHeight="1">
      <c r="A38" s="2789"/>
      <c r="B38" s="2789"/>
      <c r="C38" s="2789"/>
      <c r="D38" s="2798" t="s">
        <v>2447</v>
      </c>
      <c r="E38" s="2791" t="s">
        <v>1912</v>
      </c>
      <c r="F38" s="2792" t="s">
        <v>2448</v>
      </c>
      <c r="G38" s="2795"/>
    </row>
    <row r="39" spans="1:7" ht="13.5" customHeight="1">
      <c r="A39" s="2789"/>
      <c r="B39" s="2789"/>
      <c r="C39" s="2789"/>
      <c r="D39" s="2798"/>
      <c r="E39" s="2791"/>
      <c r="F39" s="2792"/>
      <c r="G39" s="2795" t="s">
        <v>1949</v>
      </c>
    </row>
    <row r="40" spans="1:7" ht="13.5" customHeight="1">
      <c r="A40" s="2789"/>
      <c r="B40" s="2789"/>
      <c r="C40" s="2789"/>
      <c r="D40" s="2798"/>
      <c r="E40" s="2791"/>
      <c r="F40" s="2792"/>
      <c r="G40" s="2795" t="s">
        <v>1951</v>
      </c>
    </row>
    <row r="41" spans="1:7" ht="13.5" customHeight="1">
      <c r="A41" s="2789"/>
      <c r="B41" s="2789"/>
      <c r="C41" s="2789"/>
      <c r="D41" s="2798"/>
      <c r="E41" s="2791"/>
      <c r="F41" s="2792" t="s">
        <v>2449</v>
      </c>
      <c r="G41" s="2795" t="s">
        <v>1952</v>
      </c>
    </row>
    <row r="42" spans="1:7" ht="13.5" customHeight="1">
      <c r="A42" s="2789"/>
      <c r="B42" s="2789"/>
      <c r="C42" s="2789"/>
      <c r="D42" s="2798" t="s">
        <v>2450</v>
      </c>
      <c r="E42" s="2791"/>
      <c r="F42" s="2792"/>
      <c r="G42" s="2795" t="s">
        <v>1953</v>
      </c>
    </row>
    <row r="43" spans="1:7" ht="13.5" customHeight="1">
      <c r="A43" s="2789"/>
      <c r="B43" s="2789"/>
      <c r="C43" s="2789"/>
      <c r="D43" s="2798"/>
      <c r="E43" s="2791"/>
      <c r="F43" s="2792"/>
      <c r="G43" s="2795"/>
    </row>
    <row r="44" spans="1:7" ht="13.5" customHeight="1">
      <c r="A44" s="2789"/>
      <c r="B44" s="2789"/>
      <c r="C44" s="2789"/>
      <c r="D44" s="2798" t="s">
        <v>2451</v>
      </c>
      <c r="E44" s="2791"/>
      <c r="F44" s="2792" t="s">
        <v>2452</v>
      </c>
      <c r="G44" s="2795"/>
    </row>
    <row r="45" spans="1:7" ht="13.5" customHeight="1">
      <c r="A45" s="2789"/>
      <c r="B45" s="2789"/>
      <c r="C45" s="2789"/>
      <c r="D45" s="2798"/>
      <c r="E45" s="2791"/>
      <c r="F45" s="2792"/>
      <c r="G45" s="2795"/>
    </row>
    <row r="46" spans="1:7" ht="13.5" customHeight="1">
      <c r="A46" s="2789"/>
      <c r="B46" s="2789"/>
      <c r="C46" s="2789"/>
      <c r="D46" s="2798"/>
      <c r="E46" s="2791"/>
      <c r="F46" s="2792"/>
      <c r="G46" s="2795"/>
    </row>
    <row r="47" spans="1:7" ht="13.5" customHeight="1">
      <c r="A47" s="2789"/>
      <c r="B47" s="2789"/>
      <c r="C47" s="2789"/>
      <c r="D47" s="2798"/>
      <c r="E47" s="2791"/>
      <c r="F47" s="2792" t="s">
        <v>2453</v>
      </c>
      <c r="G47" s="2795"/>
    </row>
    <row r="48" spans="1:7" ht="13.5" customHeight="1">
      <c r="A48" s="2789"/>
      <c r="B48" s="2789"/>
      <c r="C48" s="2789"/>
      <c r="D48" s="2798"/>
      <c r="E48" s="2791"/>
      <c r="F48" s="2792"/>
      <c r="G48" s="2795"/>
    </row>
    <row r="49" spans="1:7" ht="13.5" customHeight="1">
      <c r="A49" s="2789"/>
      <c r="B49" s="2789"/>
      <c r="C49" s="2789"/>
      <c r="D49" s="2799"/>
      <c r="E49" s="2791"/>
      <c r="F49" s="2792"/>
      <c r="G49" s="2796"/>
    </row>
    <row r="50" spans="1:7" ht="13.5" customHeight="1">
      <c r="A50" s="2789"/>
      <c r="B50" s="2789"/>
      <c r="C50" s="2784" t="s">
        <v>1961</v>
      </c>
      <c r="D50" s="2784" t="s">
        <v>2454</v>
      </c>
      <c r="E50" s="2786" t="s">
        <v>1912</v>
      </c>
      <c r="F50" s="2787" t="s">
        <v>1960</v>
      </c>
      <c r="G50" s="2797"/>
    </row>
    <row r="51" spans="1:7" ht="13.5" customHeight="1">
      <c r="A51" s="2789"/>
      <c r="B51" s="2789"/>
      <c r="C51" s="2789"/>
      <c r="D51" s="2789"/>
      <c r="E51" s="2791"/>
      <c r="F51" s="2792"/>
      <c r="G51" s="2793"/>
    </row>
    <row r="52" spans="1:7" ht="13.5" customHeight="1">
      <c r="A52" s="2789"/>
      <c r="B52" s="2789"/>
      <c r="C52" s="2789"/>
      <c r="D52" s="2798" t="s">
        <v>1963</v>
      </c>
      <c r="E52" s="2791" t="s">
        <v>1912</v>
      </c>
      <c r="F52" s="2792" t="s">
        <v>2448</v>
      </c>
      <c r="G52" s="2795"/>
    </row>
    <row r="53" spans="1:7" ht="13.5" customHeight="1">
      <c r="A53" s="2789"/>
      <c r="B53" s="2789"/>
      <c r="C53" s="2789"/>
      <c r="D53" s="2798"/>
      <c r="E53" s="2791"/>
      <c r="F53" s="2792"/>
      <c r="G53" s="2795"/>
    </row>
    <row r="54" spans="1:7" ht="13.5" customHeight="1">
      <c r="A54" s="2789"/>
      <c r="B54" s="2789"/>
      <c r="C54" s="2789"/>
      <c r="D54" s="2798"/>
      <c r="E54" s="2791"/>
      <c r="F54" s="2792"/>
      <c r="G54" s="2795" t="s">
        <v>1949</v>
      </c>
    </row>
    <row r="55" spans="1:7" ht="13.5" customHeight="1">
      <c r="A55" s="2789"/>
      <c r="B55" s="2789"/>
      <c r="C55" s="2789"/>
      <c r="D55" s="2798" t="s">
        <v>2455</v>
      </c>
      <c r="E55" s="2791"/>
      <c r="F55" s="2792" t="s">
        <v>2449</v>
      </c>
      <c r="G55" s="2795" t="s">
        <v>1951</v>
      </c>
    </row>
    <row r="56" spans="1:7" ht="13.5" customHeight="1">
      <c r="A56" s="2789"/>
      <c r="B56" s="2789"/>
      <c r="C56" s="2789"/>
      <c r="D56" s="2798"/>
      <c r="E56" s="2791"/>
      <c r="F56" s="2792"/>
      <c r="G56" s="2795" t="s">
        <v>1952</v>
      </c>
    </row>
    <row r="57" spans="1:7" ht="13.5" customHeight="1">
      <c r="A57" s="2789"/>
      <c r="B57" s="2789"/>
      <c r="C57" s="2789"/>
      <c r="D57" s="2798"/>
      <c r="E57" s="2791"/>
      <c r="F57" s="2792"/>
      <c r="G57" s="2795" t="s">
        <v>1953</v>
      </c>
    </row>
    <row r="58" spans="1:7" ht="13.5" customHeight="1">
      <c r="A58" s="2789"/>
      <c r="B58" s="2789"/>
      <c r="C58" s="2789"/>
      <c r="D58" s="2798" t="s">
        <v>2189</v>
      </c>
      <c r="E58" s="2791"/>
      <c r="F58" s="2792" t="s">
        <v>2452</v>
      </c>
      <c r="G58" s="2795"/>
    </row>
    <row r="59" spans="1:7" ht="13.5" customHeight="1">
      <c r="A59" s="2789"/>
      <c r="B59" s="2789"/>
      <c r="C59" s="2789"/>
      <c r="D59" s="2798"/>
      <c r="E59" s="2791"/>
      <c r="F59" s="2792"/>
      <c r="G59" s="2795"/>
    </row>
    <row r="60" spans="1:7" ht="13.5" customHeight="1">
      <c r="A60" s="2789"/>
      <c r="B60" s="2789"/>
      <c r="C60" s="2789"/>
      <c r="D60" s="2798"/>
      <c r="E60" s="2791"/>
      <c r="F60" s="2792"/>
      <c r="G60" s="2795"/>
    </row>
    <row r="61" spans="1:7" ht="13.5" customHeight="1">
      <c r="A61" s="2789"/>
      <c r="B61" s="2789"/>
      <c r="C61" s="2789"/>
      <c r="D61" s="2800"/>
      <c r="E61" s="2791"/>
      <c r="F61" s="2792" t="s">
        <v>2453</v>
      </c>
      <c r="G61" s="2795"/>
    </row>
    <row r="62" spans="1:7" ht="13.5" customHeight="1">
      <c r="A62" s="2789"/>
      <c r="B62" s="2789"/>
      <c r="C62" s="2789"/>
      <c r="D62" s="2800"/>
      <c r="E62" s="2791"/>
      <c r="F62" s="2792"/>
      <c r="G62" s="2795"/>
    </row>
    <row r="63" spans="1:7" ht="13.5" customHeight="1">
      <c r="A63" s="2801"/>
      <c r="B63" s="2801"/>
      <c r="C63" s="2801"/>
      <c r="D63" s="2802"/>
      <c r="E63" s="2803"/>
      <c r="F63" s="2804"/>
      <c r="G63" s="2796"/>
    </row>
    <row r="64" spans="1:7" ht="13.5" customHeight="1">
      <c r="A64" s="2800"/>
      <c r="B64" s="2800"/>
      <c r="C64" s="2789" t="s">
        <v>1962</v>
      </c>
      <c r="D64" s="2789" t="s">
        <v>2456</v>
      </c>
      <c r="E64" s="2791" t="s">
        <v>1912</v>
      </c>
      <c r="F64" s="2792" t="s">
        <v>1960</v>
      </c>
      <c r="G64" s="2797"/>
    </row>
    <row r="65" spans="1:7" ht="13.5" customHeight="1">
      <c r="A65" s="2800"/>
      <c r="B65" s="2800"/>
      <c r="C65" s="2789"/>
      <c r="D65" s="2789"/>
      <c r="E65" s="2791"/>
      <c r="F65" s="2792"/>
      <c r="G65" s="2793"/>
    </row>
    <row r="66" spans="1:7" ht="13.5" customHeight="1">
      <c r="A66" s="2800"/>
      <c r="B66" s="2800"/>
      <c r="C66" s="2789"/>
      <c r="D66" s="2798"/>
      <c r="E66" s="2791" t="s">
        <v>1912</v>
      </c>
      <c r="F66" s="2792" t="s">
        <v>2448</v>
      </c>
      <c r="G66" s="2795"/>
    </row>
    <row r="67" spans="1:7" ht="13.5" customHeight="1">
      <c r="A67" s="2800"/>
      <c r="B67" s="2800"/>
      <c r="C67" s="2789"/>
      <c r="D67" s="2798"/>
      <c r="E67" s="2791"/>
      <c r="F67" s="2792"/>
      <c r="G67" s="2793"/>
    </row>
    <row r="68" spans="1:7" ht="13.5" customHeight="1">
      <c r="A68" s="2800"/>
      <c r="B68" s="2800"/>
      <c r="C68" s="2789"/>
      <c r="D68" s="2798"/>
      <c r="E68" s="2791"/>
      <c r="F68" s="2792"/>
      <c r="G68" s="2793" t="s">
        <v>1949</v>
      </c>
    </row>
    <row r="69" spans="1:7" ht="13.5" customHeight="1">
      <c r="A69" s="2800"/>
      <c r="B69" s="2800"/>
      <c r="C69" s="2789"/>
      <c r="D69" s="2805"/>
      <c r="E69" s="2791"/>
      <c r="F69" s="2792" t="s">
        <v>2449</v>
      </c>
      <c r="G69" s="2795" t="s">
        <v>1951</v>
      </c>
    </row>
    <row r="70" spans="1:7" ht="13.5" customHeight="1">
      <c r="A70" s="2800"/>
      <c r="B70" s="2800"/>
      <c r="C70" s="2800"/>
      <c r="D70" s="2798"/>
      <c r="E70" s="2791"/>
      <c r="F70" s="2792"/>
      <c r="G70" s="2795" t="s">
        <v>1952</v>
      </c>
    </row>
    <row r="71" spans="1:7" ht="13.5" customHeight="1">
      <c r="A71" s="2800"/>
      <c r="B71" s="2800"/>
      <c r="C71" s="2800"/>
      <c r="D71" s="2798"/>
      <c r="E71" s="2791"/>
      <c r="F71" s="2792"/>
      <c r="G71" s="2795" t="s">
        <v>1953</v>
      </c>
    </row>
    <row r="72" spans="1:7" ht="13.5" customHeight="1">
      <c r="A72" s="2800"/>
      <c r="B72" s="2800"/>
      <c r="C72" s="2800"/>
      <c r="D72" s="2798"/>
      <c r="E72" s="2791"/>
      <c r="F72" s="2792" t="s">
        <v>2452</v>
      </c>
      <c r="G72" s="2795"/>
    </row>
    <row r="73" spans="1:7" ht="13.5" customHeight="1">
      <c r="A73" s="2800"/>
      <c r="B73" s="2800"/>
      <c r="C73" s="2800"/>
      <c r="D73" s="2806"/>
      <c r="E73" s="2791"/>
      <c r="F73" s="2792"/>
      <c r="G73" s="2795"/>
    </row>
    <row r="74" spans="1:7" ht="13.5" customHeight="1">
      <c r="A74" s="2800"/>
      <c r="B74" s="2800"/>
      <c r="C74" s="2800"/>
      <c r="D74" s="2806"/>
      <c r="E74" s="2791"/>
      <c r="F74" s="2792"/>
      <c r="G74" s="2795"/>
    </row>
    <row r="75" spans="1:7" ht="13.5" customHeight="1">
      <c r="A75" s="2800"/>
      <c r="B75" s="2800"/>
      <c r="C75" s="2800"/>
      <c r="D75" s="2806"/>
      <c r="E75" s="2791"/>
      <c r="F75" s="2792" t="s">
        <v>2453</v>
      </c>
      <c r="G75" s="2795"/>
    </row>
    <row r="76" spans="1:7" ht="13.5" customHeight="1">
      <c r="A76" s="2800"/>
      <c r="B76" s="2800"/>
      <c r="C76" s="2800"/>
      <c r="D76" s="2806"/>
      <c r="E76" s="2791"/>
      <c r="F76" s="2792"/>
      <c r="G76" s="2795"/>
    </row>
    <row r="77" spans="1:7" ht="13.5" customHeight="1">
      <c r="A77" s="2800"/>
      <c r="B77" s="2800"/>
      <c r="C77" s="2800"/>
      <c r="D77" s="2805"/>
      <c r="E77" s="2791"/>
      <c r="F77" s="2792"/>
      <c r="G77" s="2796"/>
    </row>
    <row r="78" spans="1:7" ht="13.5" customHeight="1">
      <c r="A78" s="2800"/>
      <c r="B78" s="2784" t="s">
        <v>1925</v>
      </c>
      <c r="C78" s="2784" t="s">
        <v>1969</v>
      </c>
      <c r="D78" s="2784" t="s">
        <v>2184</v>
      </c>
      <c r="E78" s="2786" t="s">
        <v>1912</v>
      </c>
      <c r="F78" s="2787" t="s">
        <v>1921</v>
      </c>
      <c r="G78" s="2807"/>
    </row>
    <row r="79" spans="1:7" ht="13.5" customHeight="1">
      <c r="A79" s="2800"/>
      <c r="B79" s="2789"/>
      <c r="C79" s="2789"/>
      <c r="D79" s="2789"/>
      <c r="E79" s="2791"/>
      <c r="F79" s="2792"/>
      <c r="G79" s="2795" t="s">
        <v>1952</v>
      </c>
    </row>
    <row r="80" spans="1:7" ht="13.5" customHeight="1">
      <c r="A80" s="2800"/>
      <c r="B80" s="2789"/>
      <c r="C80" s="2789"/>
      <c r="D80" s="2789"/>
      <c r="E80" s="2791" t="s">
        <v>1912</v>
      </c>
      <c r="F80" s="2792" t="s">
        <v>2185</v>
      </c>
      <c r="G80" s="2808" t="s">
        <v>1951</v>
      </c>
    </row>
    <row r="81" spans="1:7" ht="13.5" customHeight="1">
      <c r="A81" s="2800"/>
      <c r="B81" s="2789"/>
      <c r="C81" s="2789"/>
      <c r="D81" s="2789"/>
      <c r="E81" s="2791"/>
      <c r="F81" s="2792"/>
      <c r="G81" s="2809"/>
    </row>
    <row r="82" spans="1:7" ht="13.5" customHeight="1">
      <c r="A82" s="2800"/>
      <c r="B82" s="2801"/>
      <c r="C82" s="2801"/>
      <c r="D82" s="2801"/>
      <c r="E82" s="2803"/>
      <c r="F82" s="2810"/>
      <c r="G82" s="2811"/>
    </row>
    <row r="83" spans="1:7" ht="13.5" customHeight="1">
      <c r="A83" s="2800"/>
      <c r="B83" s="2784" t="s">
        <v>1970</v>
      </c>
      <c r="C83" s="2784" t="s">
        <v>6</v>
      </c>
      <c r="D83" s="2784" t="s">
        <v>1971</v>
      </c>
      <c r="E83" s="2786" t="s">
        <v>1912</v>
      </c>
      <c r="F83" s="2812" t="s">
        <v>1972</v>
      </c>
      <c r="G83" s="2807"/>
    </row>
    <row r="84" spans="1:7" ht="13.5" customHeight="1">
      <c r="A84" s="2800"/>
      <c r="B84" s="2789"/>
      <c r="C84" s="2789"/>
      <c r="D84" s="2789"/>
      <c r="E84" s="2791" t="s">
        <v>1912</v>
      </c>
      <c r="F84" s="2794" t="s">
        <v>1973</v>
      </c>
      <c r="G84" s="2795" t="s">
        <v>1952</v>
      </c>
    </row>
    <row r="85" spans="1:7" ht="13.5" customHeight="1">
      <c r="A85" s="2800"/>
      <c r="B85" s="2789"/>
      <c r="C85" s="2789"/>
      <c r="D85" s="2789"/>
      <c r="E85" s="2791"/>
      <c r="F85" s="2794"/>
      <c r="G85" s="2808" t="s">
        <v>1951</v>
      </c>
    </row>
    <row r="86" spans="1:7" ht="13.5" customHeight="1">
      <c r="A86" s="2800"/>
      <c r="B86" s="2789"/>
      <c r="C86" s="2801"/>
      <c r="D86" s="2801"/>
      <c r="E86" s="2803"/>
      <c r="F86" s="2810"/>
      <c r="G86" s="2811"/>
    </row>
    <row r="87" spans="1:7" ht="13.5" customHeight="1">
      <c r="A87" s="2800"/>
      <c r="B87" s="2789"/>
      <c r="C87" s="2784" t="s">
        <v>1974</v>
      </c>
      <c r="D87" s="2784" t="s">
        <v>2457</v>
      </c>
      <c r="E87" s="2786" t="s">
        <v>1912</v>
      </c>
      <c r="F87" s="2812" t="s">
        <v>1972</v>
      </c>
      <c r="G87" s="2807"/>
    </row>
    <row r="88" spans="1:7" ht="13.5" customHeight="1">
      <c r="A88" s="2800"/>
      <c r="B88" s="2789"/>
      <c r="C88" s="2789"/>
      <c r="D88" s="2789"/>
      <c r="E88" s="2791" t="s">
        <v>1912</v>
      </c>
      <c r="F88" s="2794" t="s">
        <v>1973</v>
      </c>
      <c r="G88" s="2795" t="s">
        <v>1952</v>
      </c>
    </row>
    <row r="89" spans="1:7" ht="13.5" customHeight="1">
      <c r="A89" s="2800"/>
      <c r="B89" s="2789"/>
      <c r="C89" s="2789"/>
      <c r="D89" s="2789"/>
      <c r="E89" s="2791"/>
      <c r="F89" s="2794"/>
      <c r="G89" s="2808" t="s">
        <v>1951</v>
      </c>
    </row>
    <row r="90" spans="1:7" ht="13.5" customHeight="1">
      <c r="A90" s="2800"/>
      <c r="B90" s="2789"/>
      <c r="C90" s="2789"/>
      <c r="D90" s="2789"/>
      <c r="E90" s="2791"/>
      <c r="F90" s="2794"/>
      <c r="G90" s="2809"/>
    </row>
    <row r="91" spans="1:7" ht="13.5" customHeight="1">
      <c r="A91" s="2800"/>
      <c r="B91" s="2789"/>
      <c r="C91" s="2801"/>
      <c r="D91" s="2801"/>
      <c r="E91" s="2803"/>
      <c r="F91" s="2810"/>
      <c r="G91" s="2811"/>
    </row>
    <row r="92" spans="1:7" ht="13.5" customHeight="1">
      <c r="A92" s="2800"/>
      <c r="B92" s="2789"/>
      <c r="C92" s="2784" t="s">
        <v>1975</v>
      </c>
      <c r="D92" s="2784" t="s">
        <v>1976</v>
      </c>
      <c r="E92" s="2786" t="s">
        <v>1912</v>
      </c>
      <c r="F92" s="2787" t="s">
        <v>1921</v>
      </c>
      <c r="G92" s="2807"/>
    </row>
    <row r="93" spans="1:7" ht="13.5" customHeight="1">
      <c r="A93" s="2800"/>
      <c r="B93" s="2789"/>
      <c r="C93" s="2789"/>
      <c r="D93" s="2789"/>
      <c r="E93" s="2791"/>
      <c r="F93" s="2792"/>
      <c r="G93" s="2795" t="s">
        <v>1952</v>
      </c>
    </row>
    <row r="94" spans="1:7" ht="13.5" customHeight="1">
      <c r="A94" s="2800"/>
      <c r="B94" s="2789"/>
      <c r="C94" s="2789"/>
      <c r="D94" s="2789"/>
      <c r="E94" s="2791" t="s">
        <v>1912</v>
      </c>
      <c r="F94" s="2792" t="s">
        <v>1977</v>
      </c>
      <c r="G94" s="2808" t="s">
        <v>1951</v>
      </c>
    </row>
    <row r="95" spans="1:7" ht="13.5" customHeight="1">
      <c r="A95" s="2800"/>
      <c r="B95" s="2789"/>
      <c r="C95" s="2789"/>
      <c r="D95" s="2789"/>
      <c r="E95" s="2791"/>
      <c r="F95" s="2792"/>
      <c r="G95" s="2808"/>
    </row>
    <row r="96" spans="1:7" ht="13.5" customHeight="1">
      <c r="A96" s="2800"/>
      <c r="B96" s="2789"/>
      <c r="C96" s="2801"/>
      <c r="D96" s="2801"/>
      <c r="E96" s="2803" t="s">
        <v>1912</v>
      </c>
      <c r="F96" s="2813" t="s">
        <v>1973</v>
      </c>
      <c r="G96" s="2814"/>
    </row>
    <row r="97" spans="1:7" ht="13.5" customHeight="1">
      <c r="A97" s="2800"/>
      <c r="B97" s="2789"/>
      <c r="C97" s="2784" t="s">
        <v>1978</v>
      </c>
      <c r="D97" s="2784" t="s">
        <v>1979</v>
      </c>
      <c r="E97" s="2786" t="s">
        <v>1912</v>
      </c>
      <c r="F97" s="2787" t="s">
        <v>1921</v>
      </c>
      <c r="G97" s="2807" t="s">
        <v>1952</v>
      </c>
    </row>
    <row r="98" spans="1:7" ht="13.5" customHeight="1">
      <c r="A98" s="2800"/>
      <c r="B98" s="2789"/>
      <c r="C98" s="2789"/>
      <c r="D98" s="2789"/>
      <c r="E98" s="2791"/>
      <c r="F98" s="2792"/>
      <c r="G98" s="2795" t="s">
        <v>1951</v>
      </c>
    </row>
    <row r="99" spans="1:7" ht="13.5" customHeight="1">
      <c r="A99" s="2800"/>
      <c r="B99" s="2789"/>
      <c r="C99" s="2801"/>
      <c r="D99" s="2801"/>
      <c r="E99" s="2803" t="s">
        <v>1912</v>
      </c>
      <c r="F99" s="2813" t="s">
        <v>1973</v>
      </c>
      <c r="G99" s="2814"/>
    </row>
    <row r="100" spans="1:7" ht="13.5" customHeight="1">
      <c r="A100" s="2800"/>
      <c r="B100" s="2789"/>
      <c r="C100" s="2784" t="s">
        <v>1980</v>
      </c>
      <c r="D100" s="2784" t="s">
        <v>1981</v>
      </c>
      <c r="E100" s="2786" t="s">
        <v>1912</v>
      </c>
      <c r="F100" s="2787" t="s">
        <v>1921</v>
      </c>
      <c r="G100" s="2807"/>
    </row>
    <row r="101" spans="1:7" ht="13.5" customHeight="1">
      <c r="A101" s="2800"/>
      <c r="B101" s="2789"/>
      <c r="C101" s="2789"/>
      <c r="D101" s="2789"/>
      <c r="E101" s="2791"/>
      <c r="F101" s="2792"/>
      <c r="G101" s="2795" t="s">
        <v>1952</v>
      </c>
    </row>
    <row r="102" spans="1:7" ht="13.5" customHeight="1">
      <c r="A102" s="2800"/>
      <c r="B102" s="2789"/>
      <c r="C102" s="2789"/>
      <c r="D102" s="2789"/>
      <c r="E102" s="2791" t="s">
        <v>1912</v>
      </c>
      <c r="F102" s="2794" t="s">
        <v>1973</v>
      </c>
      <c r="G102" s="2795" t="s">
        <v>1951</v>
      </c>
    </row>
    <row r="103" spans="1:7" ht="13.5" customHeight="1">
      <c r="A103" s="2800"/>
      <c r="B103" s="2789"/>
      <c r="C103" s="2789"/>
      <c r="D103" s="2789"/>
      <c r="E103" s="2791" t="s">
        <v>1912</v>
      </c>
      <c r="F103" s="2792" t="s">
        <v>1982</v>
      </c>
      <c r="G103" s="2795"/>
    </row>
    <row r="104" spans="1:7" ht="13.5" customHeight="1">
      <c r="A104" s="2800"/>
      <c r="B104" s="2789"/>
      <c r="C104" s="2801"/>
      <c r="D104" s="2801"/>
      <c r="E104" s="2803"/>
      <c r="F104" s="2804"/>
      <c r="G104" s="2814"/>
    </row>
    <row r="105" spans="1:7" ht="13.5" customHeight="1">
      <c r="A105" s="2800"/>
      <c r="B105" s="2789"/>
      <c r="C105" s="2784" t="s">
        <v>1983</v>
      </c>
      <c r="D105" s="2784" t="s">
        <v>1984</v>
      </c>
      <c r="E105" s="2786" t="s">
        <v>1912</v>
      </c>
      <c r="F105" s="2787" t="s">
        <v>1985</v>
      </c>
      <c r="G105" s="2807"/>
    </row>
    <row r="106" spans="1:7" ht="13.5" customHeight="1">
      <c r="A106" s="2800"/>
      <c r="B106" s="2789"/>
      <c r="C106" s="2789"/>
      <c r="D106" s="2789"/>
      <c r="E106" s="2791"/>
      <c r="F106" s="2792"/>
      <c r="G106" s="2795" t="s">
        <v>1952</v>
      </c>
    </row>
    <row r="107" spans="1:7" ht="13.5" customHeight="1">
      <c r="A107" s="2800"/>
      <c r="B107" s="2789"/>
      <c r="C107" s="2789"/>
      <c r="D107" s="2789"/>
      <c r="E107" s="2791" t="s">
        <v>1912</v>
      </c>
      <c r="F107" s="2792" t="s">
        <v>1986</v>
      </c>
      <c r="G107" s="2795" t="s">
        <v>1951</v>
      </c>
    </row>
    <row r="108" spans="1:7" ht="13.5" customHeight="1">
      <c r="A108" s="2800"/>
      <c r="B108" s="2789"/>
      <c r="C108" s="2789"/>
      <c r="D108" s="2789"/>
      <c r="E108" s="2791"/>
      <c r="F108" s="2792"/>
      <c r="G108" s="2795"/>
    </row>
    <row r="109" spans="1:7" ht="13.5" customHeight="1">
      <c r="A109" s="2800"/>
      <c r="B109" s="2789"/>
      <c r="C109" s="2801"/>
      <c r="D109" s="2801"/>
      <c r="E109" s="2803"/>
      <c r="F109" s="2804"/>
      <c r="G109" s="2814"/>
    </row>
    <row r="110" spans="1:7" ht="13.5" customHeight="1">
      <c r="A110" s="2800"/>
      <c r="B110" s="2789"/>
      <c r="C110" s="2784" t="s">
        <v>1987</v>
      </c>
      <c r="D110" s="2784" t="s">
        <v>1988</v>
      </c>
      <c r="E110" s="2786" t="s">
        <v>1912</v>
      </c>
      <c r="F110" s="2787" t="s">
        <v>1921</v>
      </c>
      <c r="G110" s="2807"/>
    </row>
    <row r="111" spans="1:7" ht="13.5" customHeight="1">
      <c r="A111" s="2800"/>
      <c r="B111" s="2789"/>
      <c r="C111" s="2789"/>
      <c r="D111" s="2789"/>
      <c r="E111" s="2791"/>
      <c r="F111" s="2792"/>
      <c r="G111" s="2795" t="s">
        <v>1952</v>
      </c>
    </row>
    <row r="112" spans="1:7" ht="13.5" customHeight="1">
      <c r="A112" s="2800"/>
      <c r="B112" s="2789"/>
      <c r="C112" s="2789"/>
      <c r="D112" s="2789"/>
      <c r="E112" s="2791" t="s">
        <v>1912</v>
      </c>
      <c r="F112" s="2792" t="s">
        <v>1989</v>
      </c>
      <c r="G112" s="2795" t="s">
        <v>1951</v>
      </c>
    </row>
    <row r="113" spans="1:7" ht="13.5" customHeight="1">
      <c r="A113" s="2800"/>
      <c r="B113" s="2789"/>
      <c r="C113" s="2789"/>
      <c r="D113" s="2789"/>
      <c r="E113" s="2791"/>
      <c r="F113" s="2792"/>
      <c r="G113" s="2795"/>
    </row>
    <row r="114" spans="1:7" ht="13.5" customHeight="1">
      <c r="A114" s="2800"/>
      <c r="B114" s="2789"/>
      <c r="C114" s="2801"/>
      <c r="D114" s="2801"/>
      <c r="E114" s="2803" t="s">
        <v>1912</v>
      </c>
      <c r="F114" s="2813" t="s">
        <v>2191</v>
      </c>
      <c r="G114" s="2796"/>
    </row>
    <row r="115" spans="1:7" ht="13.5" customHeight="1">
      <c r="A115" s="2800"/>
      <c r="B115" s="2789"/>
      <c r="C115" s="2784" t="s">
        <v>1990</v>
      </c>
      <c r="D115" s="2784" t="s">
        <v>1991</v>
      </c>
      <c r="E115" s="2786" t="s">
        <v>1912</v>
      </c>
      <c r="F115" s="2787" t="s">
        <v>1992</v>
      </c>
      <c r="G115" s="2807"/>
    </row>
    <row r="116" spans="1:7" ht="13.5" customHeight="1">
      <c r="A116" s="2800"/>
      <c r="B116" s="2789"/>
      <c r="C116" s="2789"/>
      <c r="D116" s="2789"/>
      <c r="E116" s="2791"/>
      <c r="F116" s="2792"/>
      <c r="G116" s="2795"/>
    </row>
    <row r="117" spans="1:7" ht="13.5" customHeight="1">
      <c r="A117" s="2800"/>
      <c r="B117" s="2789"/>
      <c r="C117" s="2789"/>
      <c r="D117" s="2789"/>
      <c r="E117" s="2791" t="s">
        <v>1912</v>
      </c>
      <c r="F117" s="2792" t="s">
        <v>1993</v>
      </c>
      <c r="G117" s="2795"/>
    </row>
    <row r="118" spans="1:7" ht="13.5" customHeight="1">
      <c r="A118" s="2800"/>
      <c r="B118" s="2789"/>
      <c r="C118" s="2789"/>
      <c r="D118" s="2789"/>
      <c r="E118" s="2791"/>
      <c r="F118" s="2792"/>
      <c r="G118" s="2795" t="s">
        <v>1951</v>
      </c>
    </row>
    <row r="119" spans="1:7" ht="13.5" customHeight="1">
      <c r="A119" s="2800"/>
      <c r="B119" s="2789"/>
      <c r="C119" s="2789"/>
      <c r="D119" s="2789"/>
      <c r="E119" s="2791" t="s">
        <v>1994</v>
      </c>
      <c r="F119" s="2792" t="s">
        <v>1995</v>
      </c>
      <c r="G119" s="2795"/>
    </row>
    <row r="120" spans="1:7" ht="13.5" customHeight="1">
      <c r="A120" s="2800"/>
      <c r="B120" s="2789"/>
      <c r="C120" s="2789"/>
      <c r="D120" s="2789"/>
      <c r="E120" s="2791"/>
      <c r="F120" s="2792"/>
      <c r="G120" s="2795"/>
    </row>
    <row r="121" spans="1:7" ht="13.5" customHeight="1">
      <c r="A121" s="2802"/>
      <c r="B121" s="2801"/>
      <c r="C121" s="2801"/>
      <c r="D121" s="2801"/>
      <c r="E121" s="2803"/>
      <c r="F121" s="2804"/>
      <c r="G121" s="2796"/>
    </row>
    <row r="122" spans="1:7" ht="13.5" customHeight="1">
      <c r="A122" s="2800"/>
      <c r="B122" s="2784" t="s">
        <v>1996</v>
      </c>
      <c r="C122" s="2789" t="s">
        <v>1997</v>
      </c>
      <c r="D122" s="2789"/>
      <c r="E122" s="2791"/>
      <c r="F122" s="2794"/>
      <c r="G122" s="2795"/>
    </row>
    <row r="123" spans="1:7" ht="13.5" customHeight="1">
      <c r="A123" s="2800"/>
      <c r="B123" s="2789"/>
      <c r="C123" s="2801"/>
      <c r="D123" s="2801"/>
      <c r="E123" s="2803"/>
      <c r="F123" s="2813"/>
      <c r="G123" s="2796"/>
    </row>
    <row r="124" spans="1:7" ht="13.5" customHeight="1">
      <c r="A124" s="2800"/>
      <c r="B124" s="2789"/>
      <c r="C124" s="2784" t="s">
        <v>1998</v>
      </c>
      <c r="D124" s="2784" t="s">
        <v>1999</v>
      </c>
      <c r="E124" s="2786" t="s">
        <v>1912</v>
      </c>
      <c r="F124" s="2787" t="s">
        <v>2000</v>
      </c>
      <c r="G124" s="2807"/>
    </row>
    <row r="125" spans="1:7" ht="13.5" customHeight="1">
      <c r="A125" s="2800"/>
      <c r="B125" s="2789"/>
      <c r="C125" s="2789"/>
      <c r="D125" s="2789"/>
      <c r="E125" s="2791"/>
      <c r="F125" s="2792"/>
      <c r="G125" s="2795"/>
    </row>
    <row r="126" spans="1:7" ht="13.5" customHeight="1">
      <c r="A126" s="2800"/>
      <c r="B126" s="2789"/>
      <c r="C126" s="2789"/>
      <c r="D126" s="2789"/>
      <c r="E126" s="2791" t="s">
        <v>1912</v>
      </c>
      <c r="F126" s="2792" t="s">
        <v>2001</v>
      </c>
      <c r="G126" s="2795" t="s">
        <v>1952</v>
      </c>
    </row>
    <row r="127" spans="1:7" ht="13.5" customHeight="1">
      <c r="A127" s="2800"/>
      <c r="B127" s="2789"/>
      <c r="C127" s="2789"/>
      <c r="D127" s="2789"/>
      <c r="E127" s="2791"/>
      <c r="F127" s="2792"/>
      <c r="G127" s="2795" t="s">
        <v>1951</v>
      </c>
    </row>
    <row r="128" spans="1:7" ht="13.5" customHeight="1">
      <c r="A128" s="2800"/>
      <c r="B128" s="2789"/>
      <c r="C128" s="2789"/>
      <c r="D128" s="2789"/>
      <c r="E128" s="2791" t="s">
        <v>1912</v>
      </c>
      <c r="F128" s="2794" t="s">
        <v>2002</v>
      </c>
      <c r="G128" s="2795"/>
    </row>
    <row r="129" spans="1:7" ht="13.5" customHeight="1">
      <c r="A129" s="2800"/>
      <c r="B129" s="2789"/>
      <c r="C129" s="2789"/>
      <c r="D129" s="2789"/>
      <c r="E129" s="2791" t="s">
        <v>1912</v>
      </c>
      <c r="F129" s="2794" t="s">
        <v>2003</v>
      </c>
      <c r="G129" s="2795"/>
    </row>
    <row r="130" spans="1:7" ht="13.5" customHeight="1">
      <c r="A130" s="2800"/>
      <c r="B130" s="2789"/>
      <c r="C130" s="2801"/>
      <c r="D130" s="2801"/>
      <c r="E130" s="2803"/>
      <c r="F130" s="2813"/>
      <c r="G130" s="2796"/>
    </row>
    <row r="131" spans="1:7" ht="13.5" customHeight="1">
      <c r="A131" s="2800"/>
      <c r="B131" s="2789"/>
      <c r="C131" s="2784" t="s">
        <v>2004</v>
      </c>
      <c r="D131" s="2784" t="s">
        <v>2005</v>
      </c>
      <c r="E131" s="2786" t="s">
        <v>1912</v>
      </c>
      <c r="F131" s="2787" t="s">
        <v>2192</v>
      </c>
      <c r="G131" s="2807"/>
    </row>
    <row r="132" spans="1:7" ht="13.5" customHeight="1">
      <c r="A132" s="2800"/>
      <c r="B132" s="2789"/>
      <c r="C132" s="2789"/>
      <c r="D132" s="2789"/>
      <c r="E132" s="2791"/>
      <c r="F132" s="2792"/>
      <c r="G132" s="2795"/>
    </row>
    <row r="133" spans="1:7" ht="13.5" customHeight="1">
      <c r="A133" s="2800"/>
      <c r="B133" s="2789"/>
      <c r="C133" s="2789"/>
      <c r="D133" s="2789"/>
      <c r="E133" s="2791"/>
      <c r="F133" s="2792"/>
      <c r="G133" s="2795" t="s">
        <v>1951</v>
      </c>
    </row>
    <row r="134" spans="1:7" ht="13.5" customHeight="1">
      <c r="A134" s="2800"/>
      <c r="B134" s="2789"/>
      <c r="C134" s="2789"/>
      <c r="D134" s="2789"/>
      <c r="E134" s="2791" t="s">
        <v>1912</v>
      </c>
      <c r="F134" s="2794" t="s">
        <v>2006</v>
      </c>
      <c r="G134" s="2795"/>
    </row>
    <row r="135" spans="1:7" ht="13.5" customHeight="1">
      <c r="A135" s="2800"/>
      <c r="B135" s="2789"/>
      <c r="C135" s="2801"/>
      <c r="D135" s="2801"/>
      <c r="E135" s="2803" t="s">
        <v>1912</v>
      </c>
      <c r="F135" s="2813" t="s">
        <v>2007</v>
      </c>
      <c r="G135" s="2796"/>
    </row>
    <row r="136" spans="1:7" ht="13.5" customHeight="1">
      <c r="A136" s="2800"/>
      <c r="B136" s="2789"/>
      <c r="C136" s="2789" t="s">
        <v>2008</v>
      </c>
      <c r="D136" s="2789" t="s">
        <v>2009</v>
      </c>
      <c r="E136" s="2791" t="s">
        <v>1912</v>
      </c>
      <c r="F136" s="2794" t="s">
        <v>1972</v>
      </c>
      <c r="G136" s="2795" t="s">
        <v>1952</v>
      </c>
    </row>
    <row r="137" spans="1:7" ht="13.5" customHeight="1">
      <c r="A137" s="2800"/>
      <c r="B137" s="2789"/>
      <c r="C137" s="2801"/>
      <c r="D137" s="2801"/>
      <c r="E137" s="2803" t="s">
        <v>1912</v>
      </c>
      <c r="F137" s="2813" t="s">
        <v>2010</v>
      </c>
      <c r="G137" s="2796" t="s">
        <v>1951</v>
      </c>
    </row>
    <row r="138" spans="1:7" ht="13.5" customHeight="1">
      <c r="A138" s="2800"/>
      <c r="B138" s="2789"/>
      <c r="C138" s="2784" t="s">
        <v>2011</v>
      </c>
      <c r="D138" s="2784" t="s">
        <v>2012</v>
      </c>
      <c r="E138" s="2786" t="s">
        <v>1912</v>
      </c>
      <c r="F138" s="2787" t="s">
        <v>2013</v>
      </c>
      <c r="G138" s="2807"/>
    </row>
    <row r="139" spans="1:7" ht="13.5" customHeight="1">
      <c r="A139" s="2800"/>
      <c r="B139" s="2789"/>
      <c r="C139" s="2789"/>
      <c r="D139" s="2789"/>
      <c r="E139" s="2791"/>
      <c r="F139" s="2792"/>
      <c r="G139" s="2795"/>
    </row>
    <row r="140" spans="1:7" ht="13.5" customHeight="1">
      <c r="A140" s="2800"/>
      <c r="B140" s="2789"/>
      <c r="C140" s="2789"/>
      <c r="D140" s="2789"/>
      <c r="E140" s="2791"/>
      <c r="F140" s="2792"/>
      <c r="G140" s="2795" t="s">
        <v>1914</v>
      </c>
    </row>
    <row r="141" spans="1:7" ht="13.5" customHeight="1">
      <c r="A141" s="2800"/>
      <c r="B141" s="2789"/>
      <c r="C141" s="2789"/>
      <c r="D141" s="2789"/>
      <c r="E141" s="2791" t="s">
        <v>1912</v>
      </c>
      <c r="F141" s="2792" t="s">
        <v>2014</v>
      </c>
      <c r="G141" s="2795" t="s">
        <v>2179</v>
      </c>
    </row>
    <row r="142" spans="1:7" ht="13.5" customHeight="1">
      <c r="A142" s="2800"/>
      <c r="B142" s="2789"/>
      <c r="C142" s="2789"/>
      <c r="D142" s="2789"/>
      <c r="E142" s="2791"/>
      <c r="F142" s="2792"/>
      <c r="G142" s="2795"/>
    </row>
    <row r="143" spans="1:7" ht="13.5" customHeight="1">
      <c r="A143" s="2800"/>
      <c r="B143" s="2789"/>
      <c r="C143" s="2789"/>
      <c r="D143" s="2789"/>
      <c r="E143" s="2791" t="s">
        <v>1912</v>
      </c>
      <c r="F143" s="2792" t="s">
        <v>2193</v>
      </c>
      <c r="G143" s="2795"/>
    </row>
    <row r="144" spans="1:7" ht="13.5" customHeight="1">
      <c r="A144" s="2800"/>
      <c r="B144" s="2789"/>
      <c r="C144" s="2801"/>
      <c r="D144" s="2801"/>
      <c r="E144" s="2803"/>
      <c r="F144" s="2804"/>
      <c r="G144" s="2796"/>
    </row>
    <row r="145" spans="1:7" ht="13.5" customHeight="1">
      <c r="A145" s="2800"/>
      <c r="B145" s="2789"/>
      <c r="C145" s="2784" t="s">
        <v>2015</v>
      </c>
      <c r="D145" s="2784" t="s">
        <v>2016</v>
      </c>
      <c r="E145" s="2786" t="s">
        <v>1912</v>
      </c>
      <c r="F145" s="2787" t="s">
        <v>1921</v>
      </c>
      <c r="G145" s="2807"/>
    </row>
    <row r="146" spans="1:7" ht="13.5" customHeight="1">
      <c r="A146" s="2800"/>
      <c r="B146" s="2789"/>
      <c r="C146" s="2789"/>
      <c r="D146" s="2789"/>
      <c r="E146" s="2791"/>
      <c r="F146" s="2792"/>
      <c r="G146" s="2795"/>
    </row>
    <row r="147" spans="1:7" ht="13.5" customHeight="1">
      <c r="A147" s="2800"/>
      <c r="B147" s="2789"/>
      <c r="C147" s="2789"/>
      <c r="D147" s="2789"/>
      <c r="E147" s="2791" t="s">
        <v>1912</v>
      </c>
      <c r="F147" s="2792" t="s">
        <v>2017</v>
      </c>
      <c r="G147" s="2795" t="s">
        <v>1914</v>
      </c>
    </row>
    <row r="148" spans="1:7" ht="13.5" customHeight="1">
      <c r="A148" s="2800"/>
      <c r="B148" s="2789"/>
      <c r="C148" s="2789"/>
      <c r="D148" s="2789"/>
      <c r="E148" s="2791"/>
      <c r="F148" s="2792"/>
      <c r="G148" s="2795"/>
    </row>
    <row r="149" spans="1:7" ht="13.5" customHeight="1">
      <c r="A149" s="2800"/>
      <c r="B149" s="2789"/>
      <c r="C149" s="2789"/>
      <c r="D149" s="2789"/>
      <c r="E149" s="2791" t="s">
        <v>1912</v>
      </c>
      <c r="F149" s="2792" t="s">
        <v>2018</v>
      </c>
      <c r="G149" s="2795"/>
    </row>
    <row r="150" spans="1:7" ht="13.5" customHeight="1">
      <c r="A150" s="2800"/>
      <c r="B150" s="2789"/>
      <c r="C150" s="2801"/>
      <c r="D150" s="2801"/>
      <c r="E150" s="2803"/>
      <c r="F150" s="2804"/>
      <c r="G150" s="2796"/>
    </row>
    <row r="151" spans="1:7" ht="13.5" customHeight="1">
      <c r="A151" s="2800"/>
      <c r="B151" s="2789"/>
      <c r="C151" s="2784" t="s">
        <v>2458</v>
      </c>
      <c r="D151" s="2784" t="s">
        <v>2459</v>
      </c>
      <c r="E151" s="2786" t="s">
        <v>1912</v>
      </c>
      <c r="F151" s="2787" t="s">
        <v>1921</v>
      </c>
      <c r="G151" s="2807"/>
    </row>
    <row r="152" spans="1:7" ht="13.5" customHeight="1">
      <c r="A152" s="2800"/>
      <c r="B152" s="2789"/>
      <c r="C152" s="2789"/>
      <c r="D152" s="2789"/>
      <c r="E152" s="2791"/>
      <c r="F152" s="2792"/>
      <c r="G152" s="2795"/>
    </row>
    <row r="153" spans="1:7" ht="13.5" customHeight="1">
      <c r="A153" s="2800"/>
      <c r="B153" s="2789"/>
      <c r="C153" s="2789"/>
      <c r="D153" s="2789"/>
      <c r="E153" s="2791" t="s">
        <v>1912</v>
      </c>
      <c r="F153" s="2792" t="s">
        <v>2017</v>
      </c>
      <c r="G153" s="2795" t="s">
        <v>1914</v>
      </c>
    </row>
    <row r="154" spans="1:7" ht="13.5" customHeight="1">
      <c r="A154" s="2800"/>
      <c r="B154" s="2789"/>
      <c r="C154" s="2789"/>
      <c r="D154" s="2789"/>
      <c r="E154" s="2791"/>
      <c r="F154" s="2792"/>
      <c r="G154" s="2795"/>
    </row>
    <row r="155" spans="1:7" ht="13.5" customHeight="1">
      <c r="A155" s="2800"/>
      <c r="B155" s="2789"/>
      <c r="C155" s="2789"/>
      <c r="D155" s="2789"/>
      <c r="E155" s="2791" t="s">
        <v>1912</v>
      </c>
      <c r="F155" s="2792" t="s">
        <v>2460</v>
      </c>
      <c r="G155" s="2795"/>
    </row>
    <row r="156" spans="1:7" ht="13.5" customHeight="1">
      <c r="A156" s="2802"/>
      <c r="B156" s="2801"/>
      <c r="C156" s="2801"/>
      <c r="D156" s="2801"/>
      <c r="E156" s="2803"/>
      <c r="F156" s="2804"/>
      <c r="G156" s="2796"/>
    </row>
    <row r="157" spans="1:7" ht="13.5" customHeight="1">
      <c r="A157" s="2784" t="s">
        <v>2019</v>
      </c>
      <c r="B157" s="2784" t="s">
        <v>1996</v>
      </c>
      <c r="C157" s="2784" t="s">
        <v>2020</v>
      </c>
      <c r="D157" s="2784" t="s">
        <v>2021</v>
      </c>
      <c r="E157" s="2786" t="s">
        <v>1912</v>
      </c>
      <c r="F157" s="2812" t="s">
        <v>2022</v>
      </c>
      <c r="G157" s="2807"/>
    </row>
    <row r="158" spans="1:7" ht="13.5" customHeight="1">
      <c r="A158" s="2789"/>
      <c r="B158" s="2789"/>
      <c r="C158" s="2789"/>
      <c r="D158" s="2789"/>
      <c r="E158" s="2791" t="s">
        <v>1912</v>
      </c>
      <c r="F158" s="2792" t="s">
        <v>2023</v>
      </c>
      <c r="G158" s="2795"/>
    </row>
    <row r="159" spans="1:7" ht="13.5" customHeight="1">
      <c r="A159" s="2789"/>
      <c r="B159" s="2789"/>
      <c r="C159" s="2789"/>
      <c r="D159" s="2789"/>
      <c r="E159" s="2791"/>
      <c r="F159" s="2792"/>
      <c r="G159" s="2795"/>
    </row>
    <row r="160" spans="1:7" ht="13.5" customHeight="1">
      <c r="A160" s="2789"/>
      <c r="B160" s="2789"/>
      <c r="C160" s="2789"/>
      <c r="D160" s="2789"/>
      <c r="E160" s="2791" t="s">
        <v>1912</v>
      </c>
      <c r="F160" s="2792" t="s">
        <v>2024</v>
      </c>
      <c r="G160" s="2795"/>
    </row>
    <row r="161" spans="1:7" ht="13.5" customHeight="1">
      <c r="A161" s="2789"/>
      <c r="B161" s="2789"/>
      <c r="C161" s="2789"/>
      <c r="D161" s="2789"/>
      <c r="E161" s="2791"/>
      <c r="F161" s="2792"/>
      <c r="G161" s="2795"/>
    </row>
    <row r="162" spans="1:7" ht="13.5" customHeight="1">
      <c r="A162" s="2789"/>
      <c r="B162" s="2789"/>
      <c r="C162" s="2789"/>
      <c r="D162" s="2789"/>
      <c r="E162" s="2791"/>
      <c r="F162" s="2792"/>
      <c r="G162" s="2795" t="s">
        <v>1951</v>
      </c>
    </row>
    <row r="163" spans="1:7" ht="13.5" customHeight="1">
      <c r="A163" s="2789"/>
      <c r="B163" s="2789"/>
      <c r="C163" s="2789"/>
      <c r="D163" s="2789"/>
      <c r="E163" s="2791" t="s">
        <v>1912</v>
      </c>
      <c r="F163" s="2792" t="s">
        <v>2461</v>
      </c>
      <c r="G163" s="2795"/>
    </row>
    <row r="164" spans="1:7" ht="13.5" customHeight="1">
      <c r="A164" s="2789"/>
      <c r="B164" s="2789"/>
      <c r="C164" s="2789"/>
      <c r="D164" s="2789"/>
      <c r="E164" s="2791"/>
      <c r="F164" s="2792"/>
      <c r="G164" s="2795"/>
    </row>
    <row r="165" spans="1:7" ht="13.5" customHeight="1">
      <c r="A165" s="2789"/>
      <c r="B165" s="2789"/>
      <c r="C165" s="2789"/>
      <c r="D165" s="2789"/>
      <c r="E165" s="2791"/>
      <c r="F165" s="2792"/>
      <c r="G165" s="2795"/>
    </row>
    <row r="166" spans="1:7" ht="13.5" customHeight="1">
      <c r="A166" s="2789"/>
      <c r="B166" s="2789"/>
      <c r="C166" s="2789"/>
      <c r="D166" s="2789"/>
      <c r="E166" s="2791" t="s">
        <v>1912</v>
      </c>
      <c r="F166" s="2792" t="s">
        <v>2025</v>
      </c>
      <c r="G166" s="2795"/>
    </row>
    <row r="167" spans="1:7" ht="13.5" customHeight="1">
      <c r="A167" s="2789"/>
      <c r="B167" s="2789"/>
      <c r="C167" s="2801"/>
      <c r="D167" s="2801"/>
      <c r="E167" s="2803"/>
      <c r="F167" s="2804"/>
      <c r="G167" s="2796"/>
    </row>
    <row r="168" spans="1:7" ht="13.5" customHeight="1">
      <c r="A168" s="2789"/>
      <c r="B168" s="2789"/>
      <c r="C168" s="2784" t="s">
        <v>2026</v>
      </c>
      <c r="D168" s="2784" t="s">
        <v>2027</v>
      </c>
      <c r="E168" s="2786" t="s">
        <v>1912</v>
      </c>
      <c r="F168" s="2787" t="s">
        <v>2028</v>
      </c>
      <c r="G168" s="2807"/>
    </row>
    <row r="169" spans="1:7" ht="13.5" customHeight="1">
      <c r="A169" s="2789"/>
      <c r="B169" s="2789"/>
      <c r="C169" s="2789"/>
      <c r="D169" s="2789"/>
      <c r="E169" s="2791"/>
      <c r="F169" s="2792"/>
      <c r="G169" s="2795"/>
    </row>
    <row r="170" spans="1:7" ht="13.5" customHeight="1">
      <c r="A170" s="2789"/>
      <c r="B170" s="2789"/>
      <c r="C170" s="2789"/>
      <c r="D170" s="2789"/>
      <c r="E170" s="2791"/>
      <c r="F170" s="2794"/>
      <c r="G170" s="2795"/>
    </row>
    <row r="171" spans="1:7" ht="13.5" customHeight="1">
      <c r="A171" s="2789"/>
      <c r="B171" s="2789"/>
      <c r="C171" s="2789"/>
      <c r="D171" s="2789"/>
      <c r="E171" s="2791"/>
      <c r="F171" s="2794"/>
      <c r="G171" s="2795" t="s">
        <v>1914</v>
      </c>
    </row>
    <row r="172" spans="1:7" ht="13.5" customHeight="1">
      <c r="A172" s="2789"/>
      <c r="B172" s="2789"/>
      <c r="C172" s="2789"/>
      <c r="D172" s="2789" t="s">
        <v>2462</v>
      </c>
      <c r="E172" s="2791"/>
      <c r="F172" s="2794"/>
      <c r="G172" s="2795"/>
    </row>
    <row r="173" spans="1:7" ht="13.5" customHeight="1">
      <c r="A173" s="2789"/>
      <c r="B173" s="2789"/>
      <c r="C173" s="2789"/>
      <c r="D173" s="2789"/>
      <c r="E173" s="2791"/>
      <c r="F173" s="2794"/>
      <c r="G173" s="2795"/>
    </row>
    <row r="174" spans="1:7" ht="13.5" customHeight="1">
      <c r="A174" s="2789"/>
      <c r="B174" s="2789"/>
      <c r="C174" s="2801"/>
      <c r="D174" s="2801"/>
      <c r="E174" s="2803"/>
      <c r="F174" s="2813"/>
      <c r="G174" s="2796"/>
    </row>
    <row r="175" spans="1:7" ht="13.5" customHeight="1">
      <c r="A175" s="2789"/>
      <c r="B175" s="2789"/>
      <c r="C175" s="2784" t="s">
        <v>2029</v>
      </c>
      <c r="D175" s="2784" t="s">
        <v>2030</v>
      </c>
      <c r="E175" s="2786" t="s">
        <v>1912</v>
      </c>
      <c r="F175" s="2787" t="s">
        <v>2031</v>
      </c>
      <c r="G175" s="2807"/>
    </row>
    <row r="176" spans="1:7" ht="13.5" customHeight="1">
      <c r="A176" s="2789"/>
      <c r="B176" s="2789"/>
      <c r="C176" s="2789"/>
      <c r="D176" s="2789"/>
      <c r="E176" s="2791"/>
      <c r="F176" s="2792"/>
      <c r="G176" s="2795"/>
    </row>
    <row r="177" spans="1:7" ht="13.5" customHeight="1">
      <c r="A177" s="2789"/>
      <c r="B177" s="2789"/>
      <c r="C177" s="2789"/>
      <c r="D177" s="2789"/>
      <c r="E177" s="2791"/>
      <c r="F177" s="2792"/>
      <c r="G177" s="2795" t="s">
        <v>1951</v>
      </c>
    </row>
    <row r="178" spans="1:7" ht="13.5" customHeight="1">
      <c r="A178" s="2789"/>
      <c r="B178" s="2789"/>
      <c r="C178" s="2789"/>
      <c r="D178" s="2789"/>
      <c r="E178" s="2791" t="s">
        <v>1912</v>
      </c>
      <c r="F178" s="2792" t="s">
        <v>1921</v>
      </c>
      <c r="G178" s="2795"/>
    </row>
    <row r="179" spans="1:7" ht="13.5" customHeight="1">
      <c r="A179" s="2801"/>
      <c r="B179" s="2801"/>
      <c r="C179" s="2801"/>
      <c r="D179" s="2801"/>
      <c r="E179" s="2803"/>
      <c r="F179" s="2804"/>
      <c r="G179" s="2796"/>
    </row>
    <row r="180" spans="1:7" ht="13.5" customHeight="1">
      <c r="A180" s="2800"/>
      <c r="B180" s="2800"/>
      <c r="C180" s="2784" t="s">
        <v>2032</v>
      </c>
      <c r="D180" s="2784" t="s">
        <v>2033</v>
      </c>
      <c r="E180" s="2786" t="s">
        <v>1912</v>
      </c>
      <c r="F180" s="2787" t="s">
        <v>1921</v>
      </c>
      <c r="G180" s="2807"/>
    </row>
    <row r="181" spans="1:7" ht="13.5" customHeight="1">
      <c r="A181" s="2800"/>
      <c r="B181" s="2800"/>
      <c r="C181" s="2789"/>
      <c r="D181" s="2789"/>
      <c r="E181" s="2791"/>
      <c r="F181" s="2792"/>
      <c r="G181" s="2795"/>
    </row>
    <row r="182" spans="1:7" ht="13.5" customHeight="1">
      <c r="A182" s="2800"/>
      <c r="B182" s="2800"/>
      <c r="C182" s="2789"/>
      <c r="D182" s="2789"/>
      <c r="E182" s="2791" t="s">
        <v>1912</v>
      </c>
      <c r="F182" s="2792" t="s">
        <v>2034</v>
      </c>
      <c r="G182" s="2795" t="s">
        <v>1951</v>
      </c>
    </row>
    <row r="183" spans="1:7" ht="13.5" customHeight="1">
      <c r="A183" s="2800"/>
      <c r="B183" s="2800"/>
      <c r="C183" s="2789"/>
      <c r="D183" s="2789"/>
      <c r="E183" s="2791"/>
      <c r="F183" s="2792"/>
      <c r="G183" s="2795"/>
    </row>
    <row r="184" spans="1:7" ht="13.5" customHeight="1">
      <c r="A184" s="2800"/>
      <c r="B184" s="2800"/>
      <c r="C184" s="2789"/>
      <c r="D184" s="2789"/>
      <c r="E184" s="2791" t="s">
        <v>1912</v>
      </c>
      <c r="F184" s="2792" t="s">
        <v>2035</v>
      </c>
      <c r="G184" s="2795"/>
    </row>
    <row r="185" spans="1:7" ht="13.5" customHeight="1">
      <c r="A185" s="2800"/>
      <c r="B185" s="2800"/>
      <c r="C185" s="2801"/>
      <c r="D185" s="2801"/>
      <c r="E185" s="2803"/>
      <c r="F185" s="2804"/>
      <c r="G185" s="2796"/>
    </row>
    <row r="186" spans="1:7" ht="13.5" customHeight="1">
      <c r="A186" s="2800"/>
      <c r="B186" s="2800"/>
      <c r="C186" s="2784" t="s">
        <v>2036</v>
      </c>
      <c r="D186" s="2784" t="s">
        <v>2037</v>
      </c>
      <c r="E186" s="2786" t="s">
        <v>1912</v>
      </c>
      <c r="F186" s="2787" t="s">
        <v>2038</v>
      </c>
      <c r="G186" s="2807" t="s">
        <v>1951</v>
      </c>
    </row>
    <row r="187" spans="1:7" ht="13.5" customHeight="1">
      <c r="A187" s="2800"/>
      <c r="B187" s="2800"/>
      <c r="C187" s="2801"/>
      <c r="D187" s="2801"/>
      <c r="E187" s="2803"/>
      <c r="F187" s="2804"/>
      <c r="G187" s="2796"/>
    </row>
    <row r="188" spans="1:7" ht="13.5" customHeight="1">
      <c r="A188" s="2800"/>
      <c r="B188" s="2800"/>
      <c r="C188" s="2784" t="s">
        <v>2039</v>
      </c>
      <c r="D188" s="2784" t="s">
        <v>2040</v>
      </c>
      <c r="E188" s="2786" t="s">
        <v>1912</v>
      </c>
      <c r="F188" s="2787" t="s">
        <v>2038</v>
      </c>
      <c r="G188" s="2807"/>
    </row>
    <row r="189" spans="1:7" ht="13.5" customHeight="1">
      <c r="A189" s="2800"/>
      <c r="B189" s="2800"/>
      <c r="C189" s="2789"/>
      <c r="D189" s="2789"/>
      <c r="E189" s="2791"/>
      <c r="F189" s="2792"/>
      <c r="G189" s="2795" t="s">
        <v>1951</v>
      </c>
    </row>
    <row r="190" spans="1:7" ht="13.5" customHeight="1">
      <c r="A190" s="2800"/>
      <c r="B190" s="2800"/>
      <c r="C190" s="2789"/>
      <c r="D190" s="2789"/>
      <c r="E190" s="2791" t="s">
        <v>1912</v>
      </c>
      <c r="F190" s="2792" t="s">
        <v>2041</v>
      </c>
      <c r="G190" s="2795"/>
    </row>
    <row r="191" spans="1:7" ht="13.5" customHeight="1">
      <c r="A191" s="2800"/>
      <c r="B191" s="2802"/>
      <c r="C191" s="2801"/>
      <c r="D191" s="2801"/>
      <c r="E191" s="2803"/>
      <c r="F191" s="2804"/>
      <c r="G191" s="2796"/>
    </row>
    <row r="192" spans="1:7" ht="13.5" customHeight="1">
      <c r="A192" s="2800"/>
      <c r="B192" s="2784" t="s">
        <v>2042</v>
      </c>
      <c r="C192" s="2784"/>
      <c r="D192" s="2784"/>
      <c r="E192" s="2786"/>
      <c r="F192" s="2815"/>
      <c r="G192" s="2807"/>
    </row>
    <row r="193" spans="1:7" ht="13.5" customHeight="1">
      <c r="A193" s="2800"/>
      <c r="B193" s="2789"/>
      <c r="C193" s="2789"/>
      <c r="D193" s="2789"/>
      <c r="E193" s="2791"/>
      <c r="F193" s="2816"/>
      <c r="G193" s="2795"/>
    </row>
    <row r="194" spans="1:7" ht="13.5" customHeight="1">
      <c r="A194" s="2800"/>
      <c r="B194" s="2801"/>
      <c r="C194" s="2801"/>
      <c r="D194" s="2801"/>
      <c r="E194" s="2803"/>
      <c r="F194" s="2813"/>
      <c r="G194" s="2796"/>
    </row>
    <row r="195" spans="1:7" ht="13.5" customHeight="1">
      <c r="A195" s="2800"/>
      <c r="B195" s="2784" t="s">
        <v>2043</v>
      </c>
      <c r="C195" s="2784" t="s">
        <v>2044</v>
      </c>
      <c r="D195" s="2784" t="s">
        <v>2045</v>
      </c>
      <c r="E195" s="2786" t="s">
        <v>1912</v>
      </c>
      <c r="F195" s="2787" t="s">
        <v>2046</v>
      </c>
      <c r="G195" s="2807"/>
    </row>
    <row r="196" spans="1:7" ht="13.5" customHeight="1">
      <c r="A196" s="2800"/>
      <c r="B196" s="2789"/>
      <c r="C196" s="2789"/>
      <c r="D196" s="2789"/>
      <c r="E196" s="2791"/>
      <c r="F196" s="2792"/>
      <c r="G196" s="2795"/>
    </row>
    <row r="197" spans="1:7" ht="13.5" customHeight="1">
      <c r="A197" s="2800"/>
      <c r="B197" s="2789"/>
      <c r="C197" s="2789"/>
      <c r="D197" s="2789"/>
      <c r="E197" s="2791" t="s">
        <v>1912</v>
      </c>
      <c r="F197" s="2792" t="s">
        <v>2047</v>
      </c>
      <c r="G197" s="2795"/>
    </row>
    <row r="198" spans="1:7" ht="13.5" customHeight="1">
      <c r="A198" s="2800"/>
      <c r="B198" s="2789"/>
      <c r="C198" s="2789"/>
      <c r="D198" s="2789"/>
      <c r="E198" s="2791"/>
      <c r="F198" s="2792"/>
      <c r="G198" s="2795" t="s">
        <v>1923</v>
      </c>
    </row>
    <row r="199" spans="1:7" ht="13.5" customHeight="1">
      <c r="A199" s="2800"/>
      <c r="B199" s="2789"/>
      <c r="C199" s="2789"/>
      <c r="D199" s="2789"/>
      <c r="E199" s="2791"/>
      <c r="F199" s="2792"/>
      <c r="G199" s="2795"/>
    </row>
    <row r="200" spans="1:7" ht="13.5" customHeight="1">
      <c r="A200" s="2800"/>
      <c r="B200" s="2789"/>
      <c r="C200" s="2789"/>
      <c r="D200" s="2789"/>
      <c r="E200" s="2791" t="s">
        <v>1912</v>
      </c>
      <c r="F200" s="2792" t="s">
        <v>2048</v>
      </c>
      <c r="G200" s="2795"/>
    </row>
    <row r="201" spans="1:7" ht="13.5" customHeight="1">
      <c r="A201" s="2800"/>
      <c r="B201" s="2789"/>
      <c r="C201" s="2801"/>
      <c r="D201" s="2801"/>
      <c r="E201" s="2803"/>
      <c r="F201" s="2804"/>
      <c r="G201" s="2796"/>
    </row>
    <row r="202" spans="1:7" ht="13.5" customHeight="1">
      <c r="A202" s="2800"/>
      <c r="B202" s="2789"/>
      <c r="C202" s="2789" t="s">
        <v>2049</v>
      </c>
      <c r="D202" s="2789" t="s">
        <v>2050</v>
      </c>
      <c r="E202" s="2791" t="s">
        <v>1912</v>
      </c>
      <c r="F202" s="2792" t="s">
        <v>2051</v>
      </c>
      <c r="G202" s="2795" t="s">
        <v>1952</v>
      </c>
    </row>
    <row r="203" spans="1:7" ht="13.5" customHeight="1">
      <c r="A203" s="2800"/>
      <c r="B203" s="2789"/>
      <c r="C203" s="2789"/>
      <c r="D203" s="2789"/>
      <c r="E203" s="2791"/>
      <c r="F203" s="2792"/>
      <c r="G203" s="2795"/>
    </row>
    <row r="204" spans="1:7" ht="13.5" customHeight="1">
      <c r="A204" s="2800"/>
      <c r="B204" s="2789"/>
      <c r="C204" s="2789"/>
      <c r="D204" s="2789"/>
      <c r="E204" s="2791"/>
      <c r="F204" s="2794"/>
      <c r="G204" s="2795"/>
    </row>
    <row r="205" spans="1:7" ht="13.5" customHeight="1">
      <c r="A205" s="2802"/>
      <c r="B205" s="2801"/>
      <c r="C205" s="2801"/>
      <c r="D205" s="2801"/>
      <c r="E205" s="2803"/>
      <c r="F205" s="2813"/>
      <c r="G205" s="2796"/>
    </row>
    <row r="206" spans="1:7" ht="13.5" customHeight="1">
      <c r="A206" s="2817" t="s">
        <v>2052</v>
      </c>
      <c r="B206" s="2818"/>
      <c r="C206" s="2819"/>
      <c r="D206" s="2784" t="s">
        <v>2053</v>
      </c>
      <c r="E206" s="2786"/>
      <c r="F206" s="2787"/>
      <c r="G206" s="2807" t="s">
        <v>1952</v>
      </c>
    </row>
    <row r="207" spans="1:7" ht="13.5" customHeight="1">
      <c r="A207" s="2820"/>
      <c r="B207" s="2821"/>
      <c r="C207" s="2822"/>
      <c r="D207" s="2789"/>
      <c r="E207" s="2791"/>
      <c r="F207" s="2792"/>
      <c r="G207" s="2795" t="s">
        <v>1914</v>
      </c>
    </row>
    <row r="208" spans="1:7" ht="13.5" customHeight="1">
      <c r="A208" s="2820"/>
      <c r="B208" s="2821"/>
      <c r="C208" s="2822"/>
      <c r="D208" s="2789"/>
      <c r="E208" s="2791"/>
      <c r="F208" s="2794"/>
      <c r="G208" s="2795"/>
    </row>
    <row r="209" spans="1:7" ht="13.5" customHeight="1">
      <c r="A209" s="2823"/>
      <c r="B209" s="2824"/>
      <c r="C209" s="2825"/>
      <c r="D209" s="2801"/>
      <c r="E209" s="2803"/>
      <c r="F209" s="2813"/>
      <c r="G209" s="2796"/>
    </row>
    <row r="210" spans="1:7" ht="13.5" customHeight="1">
      <c r="A210" s="2817" t="s">
        <v>2463</v>
      </c>
      <c r="B210" s="2818"/>
      <c r="C210" s="2819"/>
      <c r="D210" s="2784" t="s">
        <v>2055</v>
      </c>
      <c r="E210" s="2786" t="s">
        <v>1912</v>
      </c>
      <c r="F210" s="2787" t="s">
        <v>2464</v>
      </c>
      <c r="G210" s="2807"/>
    </row>
    <row r="211" spans="1:7" ht="13.5" customHeight="1">
      <c r="A211" s="2820"/>
      <c r="B211" s="2821"/>
      <c r="C211" s="2822"/>
      <c r="D211" s="2789"/>
      <c r="E211" s="2791"/>
      <c r="F211" s="2792"/>
      <c r="G211" s="2795" t="s">
        <v>1914</v>
      </c>
    </row>
    <row r="212" spans="1:7" ht="13.5" customHeight="1">
      <c r="A212" s="2823"/>
      <c r="B212" s="2824"/>
      <c r="C212" s="2825"/>
      <c r="D212" s="2801"/>
      <c r="E212" s="2803"/>
      <c r="F212" s="2804"/>
      <c r="G212" s="2796"/>
    </row>
    <row r="213" spans="1:7" ht="13.5" customHeight="1">
      <c r="A213" s="2817" t="s">
        <v>2056</v>
      </c>
      <c r="B213" s="2818"/>
      <c r="C213" s="2819"/>
      <c r="D213" s="2784" t="s">
        <v>2057</v>
      </c>
      <c r="E213" s="2786"/>
      <c r="F213" s="2787"/>
      <c r="G213" s="2807" t="s">
        <v>1914</v>
      </c>
    </row>
    <row r="214" spans="1:7" ht="13.5" customHeight="1">
      <c r="A214" s="2823"/>
      <c r="B214" s="2824"/>
      <c r="C214" s="2825"/>
      <c r="D214" s="2801"/>
      <c r="E214" s="2803"/>
      <c r="F214" s="2804"/>
      <c r="G214" s="2796"/>
    </row>
    <row r="215" spans="1:7" ht="13.5" customHeight="1">
      <c r="A215" s="2778" t="s">
        <v>1926</v>
      </c>
    </row>
    <row r="216" spans="1:7" ht="13.5" customHeight="1">
      <c r="A216" s="774" t="s">
        <v>2194</v>
      </c>
      <c r="B216" s="773"/>
    </row>
  </sheetData>
  <mergeCells count="170">
    <mergeCell ref="A210:C212"/>
    <mergeCell ref="D210:D212"/>
    <mergeCell ref="F210:F212"/>
    <mergeCell ref="A213:C214"/>
    <mergeCell ref="D213:D214"/>
    <mergeCell ref="F213:F214"/>
    <mergeCell ref="C202:C205"/>
    <mergeCell ref="D202:D205"/>
    <mergeCell ref="F202:F203"/>
    <mergeCell ref="A206:C209"/>
    <mergeCell ref="D206:D209"/>
    <mergeCell ref="F206:F207"/>
    <mergeCell ref="B192:B194"/>
    <mergeCell ref="C192:C194"/>
    <mergeCell ref="D192:D194"/>
    <mergeCell ref="F192:F193"/>
    <mergeCell ref="B195:B205"/>
    <mergeCell ref="C195:C201"/>
    <mergeCell ref="D195:D201"/>
    <mergeCell ref="F195:F196"/>
    <mergeCell ref="F197:F199"/>
    <mergeCell ref="F200:F201"/>
    <mergeCell ref="C186:C187"/>
    <mergeCell ref="D186:D187"/>
    <mergeCell ref="F186:F187"/>
    <mergeCell ref="C188:C191"/>
    <mergeCell ref="D188:D191"/>
    <mergeCell ref="F188:F189"/>
    <mergeCell ref="F190:F191"/>
    <mergeCell ref="C175:C179"/>
    <mergeCell ref="D175:D179"/>
    <mergeCell ref="F175:F177"/>
    <mergeCell ref="F178:F179"/>
    <mergeCell ref="C180:C185"/>
    <mergeCell ref="D180:D185"/>
    <mergeCell ref="F180:F181"/>
    <mergeCell ref="F182:F183"/>
    <mergeCell ref="F184:F185"/>
    <mergeCell ref="F160:F162"/>
    <mergeCell ref="F163:F165"/>
    <mergeCell ref="F166:F167"/>
    <mergeCell ref="C168:C174"/>
    <mergeCell ref="D168:D171"/>
    <mergeCell ref="F168:F169"/>
    <mergeCell ref="D172:D174"/>
    <mergeCell ref="C151:C156"/>
    <mergeCell ref="D151:D156"/>
    <mergeCell ref="F151:F152"/>
    <mergeCell ref="F153:F154"/>
    <mergeCell ref="F155:F156"/>
    <mergeCell ref="A157:A179"/>
    <mergeCell ref="B157:B179"/>
    <mergeCell ref="C157:C167"/>
    <mergeCell ref="D157:D167"/>
    <mergeCell ref="F158:F159"/>
    <mergeCell ref="C138:C144"/>
    <mergeCell ref="D138:D144"/>
    <mergeCell ref="F138:F140"/>
    <mergeCell ref="F141:F142"/>
    <mergeCell ref="F143:F144"/>
    <mergeCell ref="C145:C150"/>
    <mergeCell ref="D145:D150"/>
    <mergeCell ref="F145:F146"/>
    <mergeCell ref="F147:F148"/>
    <mergeCell ref="F149:F150"/>
    <mergeCell ref="F126:F127"/>
    <mergeCell ref="C131:C135"/>
    <mergeCell ref="D131:D135"/>
    <mergeCell ref="F131:F133"/>
    <mergeCell ref="C136:C137"/>
    <mergeCell ref="D136:D137"/>
    <mergeCell ref="D115:D121"/>
    <mergeCell ref="F115:F116"/>
    <mergeCell ref="F117:F118"/>
    <mergeCell ref="F119:F121"/>
    <mergeCell ref="B122:B156"/>
    <mergeCell ref="C122:C123"/>
    <mergeCell ref="D122:D123"/>
    <mergeCell ref="C124:C130"/>
    <mergeCell ref="D124:D130"/>
    <mergeCell ref="F124:F125"/>
    <mergeCell ref="F105:F106"/>
    <mergeCell ref="F107:F109"/>
    <mergeCell ref="C110:C114"/>
    <mergeCell ref="D110:D114"/>
    <mergeCell ref="F110:F111"/>
    <mergeCell ref="F112:F113"/>
    <mergeCell ref="F92:F93"/>
    <mergeCell ref="F94:F95"/>
    <mergeCell ref="C97:C99"/>
    <mergeCell ref="D97:D99"/>
    <mergeCell ref="F97:F98"/>
    <mergeCell ref="C100:C104"/>
    <mergeCell ref="D100:D104"/>
    <mergeCell ref="F100:F101"/>
    <mergeCell ref="F103:F104"/>
    <mergeCell ref="B83:B121"/>
    <mergeCell ref="C83:C86"/>
    <mergeCell ref="D83:D86"/>
    <mergeCell ref="C87:C91"/>
    <mergeCell ref="D87:D91"/>
    <mergeCell ref="C92:C96"/>
    <mergeCell ref="D92:D96"/>
    <mergeCell ref="C105:C109"/>
    <mergeCell ref="D105:D109"/>
    <mergeCell ref="C115:C121"/>
    <mergeCell ref="D70:D72"/>
    <mergeCell ref="F72:F74"/>
    <mergeCell ref="F75:F77"/>
    <mergeCell ref="B78:B82"/>
    <mergeCell ref="C78:C82"/>
    <mergeCell ref="D78:D82"/>
    <mergeCell ref="F78:F79"/>
    <mergeCell ref="F80:F81"/>
    <mergeCell ref="F55:F57"/>
    <mergeCell ref="D58:D60"/>
    <mergeCell ref="F58:F60"/>
    <mergeCell ref="F61:F63"/>
    <mergeCell ref="C64:C69"/>
    <mergeCell ref="D64:D65"/>
    <mergeCell ref="F64:F65"/>
    <mergeCell ref="D66:D68"/>
    <mergeCell ref="F66:F68"/>
    <mergeCell ref="F69:F71"/>
    <mergeCell ref="D42:D43"/>
    <mergeCell ref="D44:D49"/>
    <mergeCell ref="F44:F46"/>
    <mergeCell ref="F47:F49"/>
    <mergeCell ref="C50:C63"/>
    <mergeCell ref="D50:D51"/>
    <mergeCell ref="F50:F51"/>
    <mergeCell ref="D52:D54"/>
    <mergeCell ref="F52:F54"/>
    <mergeCell ref="D55:D57"/>
    <mergeCell ref="D31:D35"/>
    <mergeCell ref="F31:F33"/>
    <mergeCell ref="F34:F35"/>
    <mergeCell ref="B36:B63"/>
    <mergeCell ref="C36:C49"/>
    <mergeCell ref="D36:D37"/>
    <mergeCell ref="F36:F37"/>
    <mergeCell ref="D38:D41"/>
    <mergeCell ref="F38:F40"/>
    <mergeCell ref="F41:F43"/>
    <mergeCell ref="C20:C23"/>
    <mergeCell ref="D20:D23"/>
    <mergeCell ref="F20:F21"/>
    <mergeCell ref="B24:B35"/>
    <mergeCell ref="C24:C30"/>
    <mergeCell ref="D24:D30"/>
    <mergeCell ref="F24:F25"/>
    <mergeCell ref="F26:F28"/>
    <mergeCell ref="F29:F30"/>
    <mergeCell ref="C31:C35"/>
    <mergeCell ref="C12:C15"/>
    <mergeCell ref="D12:D15"/>
    <mergeCell ref="F12:F14"/>
    <mergeCell ref="C16:C19"/>
    <mergeCell ref="D16:D19"/>
    <mergeCell ref="F16:F18"/>
    <mergeCell ref="A3:C3"/>
    <mergeCell ref="E3:F3"/>
    <mergeCell ref="A4:A63"/>
    <mergeCell ref="B4:B23"/>
    <mergeCell ref="C4:C7"/>
    <mergeCell ref="D4:D7"/>
    <mergeCell ref="F4:F5"/>
    <mergeCell ref="C8:C11"/>
    <mergeCell ref="D8:D11"/>
    <mergeCell ref="F8:F10"/>
  </mergeCells>
  <phoneticPr fontId="6"/>
  <hyperlinks>
    <hyperlink ref="A216" r:id="rId1" xr:uid="{2E536C1F-EB01-4425-81B6-7EB341E9E98D}"/>
  </hyperlinks>
  <pageMargins left="0.70866141732283472" right="0.70866141732283472" top="0.55118110236220474" bottom="0.35433070866141736" header="0.31496062992125984" footer="0.31496062992125984"/>
  <pageSetup paperSize="9" scale="95" orientation="portrait" r:id="rId2"/>
  <headerFooter alignWithMargins="0"/>
  <rowBreaks count="3" manualBreakCount="3">
    <brk id="63" max="6" man="1"/>
    <brk id="121" max="6" man="1"/>
    <brk id="179" max="6" man="1"/>
  </rowBreaks>
  <drawing r:id="rId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rgb="FF92D050"/>
  </sheetPr>
  <dimension ref="A1:R56"/>
  <sheetViews>
    <sheetView topLeftCell="A32" workbookViewId="0">
      <selection activeCell="L130" sqref="L130"/>
    </sheetView>
  </sheetViews>
  <sheetFormatPr defaultColWidth="9" defaultRowHeight="12"/>
  <cols>
    <col min="1" max="1" width="4.453125" style="24" bestFit="1" customWidth="1"/>
    <col min="2" max="5" width="4.08984375" style="23" customWidth="1"/>
    <col min="6" max="6" width="9" style="24"/>
    <col min="7" max="7" width="4.08984375" style="24" customWidth="1"/>
    <col min="8" max="12" width="8.6328125" style="23" customWidth="1"/>
    <col min="13" max="17" width="9" style="25"/>
    <col min="18" max="16384" width="9" style="24"/>
  </cols>
  <sheetData>
    <row r="1" spans="1:17" ht="20.25" customHeight="1">
      <c r="A1" s="22" t="s">
        <v>95</v>
      </c>
      <c r="G1" s="22" t="s">
        <v>96</v>
      </c>
      <c r="I1" s="23" t="s">
        <v>97</v>
      </c>
    </row>
    <row r="2" spans="1:17">
      <c r="A2" s="26"/>
      <c r="B2" s="27" t="s">
        <v>98</v>
      </c>
      <c r="C2" s="27" t="s">
        <v>99</v>
      </c>
      <c r="D2" s="27" t="s">
        <v>100</v>
      </c>
      <c r="E2" s="27" t="s">
        <v>101</v>
      </c>
      <c r="G2" s="26"/>
      <c r="H2" s="27" t="s">
        <v>102</v>
      </c>
      <c r="I2" s="28" t="s">
        <v>103</v>
      </c>
      <c r="J2" s="27" t="s">
        <v>104</v>
      </c>
      <c r="K2" s="27" t="s">
        <v>32</v>
      </c>
      <c r="L2" s="27" t="s">
        <v>33</v>
      </c>
      <c r="M2" s="29" t="s">
        <v>105</v>
      </c>
    </row>
    <row r="3" spans="1:17">
      <c r="A3" s="30">
        <v>25934</v>
      </c>
      <c r="B3" s="28">
        <v>71</v>
      </c>
      <c r="C3" s="28">
        <v>657</v>
      </c>
      <c r="D3" s="28">
        <v>53</v>
      </c>
      <c r="E3" s="28">
        <v>781</v>
      </c>
      <c r="G3" s="30">
        <v>25934</v>
      </c>
      <c r="H3" s="29">
        <v>1965.1880000000001</v>
      </c>
      <c r="I3" s="29">
        <v>1676.8109999999999</v>
      </c>
      <c r="J3" s="29">
        <v>1321.4490000000001</v>
      </c>
      <c r="K3" s="29">
        <v>345.19400000000002</v>
      </c>
      <c r="L3" s="29">
        <v>10.167999999999999</v>
      </c>
      <c r="M3" s="31">
        <v>85.3</v>
      </c>
      <c r="N3" s="24"/>
      <c r="O3" s="24"/>
      <c r="P3" s="24"/>
      <c r="Q3" s="24"/>
    </row>
    <row r="4" spans="1:17">
      <c r="A4" s="30">
        <v>26299</v>
      </c>
      <c r="B4" s="28">
        <v>69</v>
      </c>
      <c r="C4" s="28">
        <v>632</v>
      </c>
      <c r="D4" s="28">
        <v>56</v>
      </c>
      <c r="E4" s="28">
        <v>757</v>
      </c>
      <c r="G4" s="30">
        <v>26299</v>
      </c>
      <c r="H4" s="29">
        <v>1977.521</v>
      </c>
      <c r="I4" s="29">
        <v>1710.894</v>
      </c>
      <c r="J4" s="29">
        <v>1363.7170000000001</v>
      </c>
      <c r="K4" s="29">
        <v>336.93799999999999</v>
      </c>
      <c r="L4" s="29">
        <v>10.239000000000001</v>
      </c>
      <c r="M4" s="31">
        <v>86.5</v>
      </c>
      <c r="N4" s="24"/>
      <c r="O4" s="24"/>
      <c r="P4" s="24"/>
      <c r="Q4" s="24"/>
    </row>
    <row r="5" spans="1:17">
      <c r="A5" s="30">
        <v>26665</v>
      </c>
      <c r="B5" s="28">
        <v>68</v>
      </c>
      <c r="C5" s="28">
        <v>617</v>
      </c>
      <c r="D5" s="28">
        <v>58</v>
      </c>
      <c r="E5" s="28">
        <v>743</v>
      </c>
      <c r="G5" s="30">
        <v>26665</v>
      </c>
      <c r="H5" s="29">
        <v>1992.155</v>
      </c>
      <c r="I5" s="29">
        <v>1749.7639999999999</v>
      </c>
      <c r="J5" s="29">
        <v>1408.5250000000001</v>
      </c>
      <c r="K5" s="29">
        <v>330.505</v>
      </c>
      <c r="L5" s="29">
        <v>10.734</v>
      </c>
      <c r="M5" s="31">
        <v>87.8</v>
      </c>
      <c r="N5" s="24"/>
      <c r="O5" s="24"/>
      <c r="P5" s="24"/>
      <c r="Q5" s="24"/>
    </row>
    <row r="6" spans="1:17">
      <c r="A6" s="30">
        <v>27030</v>
      </c>
      <c r="B6" s="28">
        <v>68</v>
      </c>
      <c r="C6" s="28">
        <v>609</v>
      </c>
      <c r="D6" s="28">
        <v>61</v>
      </c>
      <c r="E6" s="28">
        <v>738</v>
      </c>
      <c r="G6" s="30">
        <v>27030</v>
      </c>
      <c r="H6" s="29">
        <v>2008.2550000000001</v>
      </c>
      <c r="I6" s="29">
        <v>1770.6379999999999</v>
      </c>
      <c r="J6" s="29">
        <v>1445.5920000000001</v>
      </c>
      <c r="K6" s="29">
        <v>314.56900000000002</v>
      </c>
      <c r="L6" s="29">
        <v>10.477</v>
      </c>
      <c r="M6" s="31">
        <v>88.2</v>
      </c>
      <c r="N6" s="24"/>
      <c r="O6" s="24"/>
      <c r="P6" s="24"/>
      <c r="Q6" s="24"/>
    </row>
    <row r="7" spans="1:17">
      <c r="A7" s="30">
        <v>27395</v>
      </c>
      <c r="B7" s="28">
        <v>68</v>
      </c>
      <c r="C7" s="28">
        <v>598</v>
      </c>
      <c r="D7" s="28">
        <v>57</v>
      </c>
      <c r="E7" s="28">
        <v>723</v>
      </c>
      <c r="G7" s="30">
        <v>27395</v>
      </c>
      <c r="H7" s="29">
        <v>2018.125</v>
      </c>
      <c r="I7" s="29">
        <v>1802.346</v>
      </c>
      <c r="J7" s="29">
        <v>1490.1679999999999</v>
      </c>
      <c r="K7" s="29">
        <v>303.435</v>
      </c>
      <c r="L7" s="29">
        <v>8.7430000000000003</v>
      </c>
      <c r="M7" s="31">
        <v>89.3</v>
      </c>
      <c r="N7" s="24"/>
      <c r="O7" s="24"/>
      <c r="P7" s="24"/>
      <c r="Q7" s="24"/>
    </row>
    <row r="8" spans="1:17">
      <c r="A8" s="30">
        <v>27760</v>
      </c>
      <c r="B8" s="28">
        <v>69</v>
      </c>
      <c r="C8" s="28">
        <v>588</v>
      </c>
      <c r="D8" s="28">
        <v>57</v>
      </c>
      <c r="E8" s="28">
        <v>714</v>
      </c>
      <c r="G8" s="30">
        <v>27760</v>
      </c>
      <c r="H8" s="29">
        <v>2033.365</v>
      </c>
      <c r="I8" s="29">
        <v>1825.0039999999999</v>
      </c>
      <c r="J8" s="29">
        <v>1516.6510000000001</v>
      </c>
      <c r="K8" s="29">
        <v>300.23500000000001</v>
      </c>
      <c r="L8" s="29">
        <v>8.1180000000000003</v>
      </c>
      <c r="M8" s="31">
        <v>89.8</v>
      </c>
      <c r="N8" s="24"/>
      <c r="O8" s="24"/>
      <c r="P8" s="24"/>
      <c r="Q8" s="24"/>
    </row>
    <row r="9" spans="1:17">
      <c r="A9" s="30">
        <v>28126</v>
      </c>
      <c r="B9" s="28">
        <v>69</v>
      </c>
      <c r="C9" s="28">
        <v>566</v>
      </c>
      <c r="D9" s="28">
        <v>55</v>
      </c>
      <c r="E9" s="28">
        <v>690</v>
      </c>
      <c r="G9" s="30">
        <v>28126</v>
      </c>
      <c r="H9" s="29">
        <v>2048.5</v>
      </c>
      <c r="I9" s="29">
        <v>1860.6279999999999</v>
      </c>
      <c r="J9" s="29">
        <v>1562.54</v>
      </c>
      <c r="K9" s="29">
        <v>290.12599999999998</v>
      </c>
      <c r="L9" s="29">
        <v>7.9619999999999997</v>
      </c>
      <c r="M9" s="31">
        <v>90.8</v>
      </c>
      <c r="N9" s="24"/>
      <c r="O9" s="24"/>
      <c r="P9" s="24"/>
      <c r="Q9" s="24"/>
    </row>
    <row r="10" spans="1:17">
      <c r="A10" s="30">
        <v>28491</v>
      </c>
      <c r="B10" s="28">
        <v>67</v>
      </c>
      <c r="C10" s="28">
        <v>532</v>
      </c>
      <c r="D10" s="28">
        <v>55</v>
      </c>
      <c r="E10" s="28">
        <v>654</v>
      </c>
      <c r="G10" s="30">
        <v>28491</v>
      </c>
      <c r="H10" s="29">
        <v>2060.982</v>
      </c>
      <c r="I10" s="29">
        <v>1890.826</v>
      </c>
      <c r="J10" s="29">
        <v>1606.104</v>
      </c>
      <c r="K10" s="29">
        <v>278.13099999999997</v>
      </c>
      <c r="L10" s="29">
        <v>6.5910000000000002</v>
      </c>
      <c r="M10" s="31">
        <v>91.7</v>
      </c>
      <c r="N10" s="24"/>
      <c r="O10" s="24"/>
      <c r="P10" s="24"/>
      <c r="Q10" s="24"/>
    </row>
    <row r="11" spans="1:17">
      <c r="A11" s="30">
        <v>28856</v>
      </c>
      <c r="B11" s="28">
        <v>68</v>
      </c>
      <c r="C11" s="28">
        <v>519</v>
      </c>
      <c r="D11" s="28">
        <v>50</v>
      </c>
      <c r="E11" s="28">
        <v>637</v>
      </c>
      <c r="G11" s="30">
        <v>28856</v>
      </c>
      <c r="H11" s="29">
        <v>2072.3519999999999</v>
      </c>
      <c r="I11" s="29">
        <v>1914.616</v>
      </c>
      <c r="J11" s="29">
        <v>1631.453</v>
      </c>
      <c r="K11" s="29">
        <v>277.255</v>
      </c>
      <c r="L11" s="29">
        <v>5.9080000000000004</v>
      </c>
      <c r="M11" s="31">
        <v>92.4</v>
      </c>
      <c r="N11" s="24"/>
      <c r="O11" s="24"/>
      <c r="P11" s="24"/>
      <c r="Q11" s="24"/>
    </row>
    <row r="12" spans="1:17">
      <c r="A12" s="30">
        <v>29221</v>
      </c>
      <c r="B12" s="28">
        <v>69</v>
      </c>
      <c r="C12" s="28">
        <v>510</v>
      </c>
      <c r="D12" s="28">
        <v>49</v>
      </c>
      <c r="E12" s="28">
        <v>628</v>
      </c>
      <c r="G12" s="30">
        <v>29221</v>
      </c>
      <c r="H12" s="29">
        <v>2082.1039999999998</v>
      </c>
      <c r="I12" s="29">
        <v>1934.652</v>
      </c>
      <c r="J12" s="29">
        <v>1651.2639999999999</v>
      </c>
      <c r="K12" s="29">
        <v>278.29399999999998</v>
      </c>
      <c r="L12" s="29">
        <v>5.0940000000000003</v>
      </c>
      <c r="M12" s="31">
        <v>92.9</v>
      </c>
      <c r="N12" s="24"/>
      <c r="O12" s="24"/>
      <c r="P12" s="24"/>
      <c r="Q12" s="24"/>
    </row>
    <row r="13" spans="1:17">
      <c r="A13" s="30">
        <v>29587</v>
      </c>
      <c r="B13" s="28">
        <v>69</v>
      </c>
      <c r="C13" s="28">
        <v>496</v>
      </c>
      <c r="D13" s="28">
        <v>44</v>
      </c>
      <c r="E13" s="28">
        <v>609</v>
      </c>
      <c r="G13" s="30">
        <v>29587</v>
      </c>
      <c r="H13" s="29">
        <v>2090.6379999999999</v>
      </c>
      <c r="I13" s="29">
        <v>1951.97</v>
      </c>
      <c r="J13" s="29">
        <v>1665.848</v>
      </c>
      <c r="K13" s="29">
        <v>280.31</v>
      </c>
      <c r="L13" s="29">
        <v>5.8120000000000003</v>
      </c>
      <c r="M13" s="31">
        <v>93.4</v>
      </c>
      <c r="N13" s="24"/>
      <c r="O13" s="24"/>
      <c r="P13" s="24"/>
      <c r="Q13" s="24"/>
    </row>
    <row r="14" spans="1:17">
      <c r="A14" s="30">
        <v>29952</v>
      </c>
      <c r="B14" s="28">
        <v>69</v>
      </c>
      <c r="C14" s="28">
        <v>499</v>
      </c>
      <c r="D14" s="28">
        <v>42</v>
      </c>
      <c r="E14" s="28">
        <v>610</v>
      </c>
      <c r="G14" s="30">
        <v>29952</v>
      </c>
      <c r="H14" s="29">
        <v>2098.0279999999998</v>
      </c>
      <c r="I14" s="29">
        <v>1970.1949999999999</v>
      </c>
      <c r="J14" s="29">
        <v>1685.4280000000001</v>
      </c>
      <c r="K14" s="29">
        <v>279.65800000000002</v>
      </c>
      <c r="L14" s="29">
        <v>5.109</v>
      </c>
      <c r="M14" s="31">
        <v>93.9</v>
      </c>
      <c r="N14" s="24"/>
      <c r="O14" s="24"/>
      <c r="P14" s="24"/>
      <c r="Q14" s="24"/>
    </row>
    <row r="15" spans="1:17">
      <c r="A15" s="30">
        <v>30317</v>
      </c>
      <c r="B15" s="28">
        <v>69</v>
      </c>
      <c r="C15" s="28">
        <v>483</v>
      </c>
      <c r="D15" s="28">
        <v>41</v>
      </c>
      <c r="E15" s="28">
        <v>593</v>
      </c>
      <c r="G15" s="30">
        <v>30317</v>
      </c>
      <c r="H15" s="29">
        <v>2107.027</v>
      </c>
      <c r="I15" s="29">
        <v>1984.9369999999999</v>
      </c>
      <c r="J15" s="29">
        <v>1700.6389999999999</v>
      </c>
      <c r="K15" s="29">
        <v>279.43799999999999</v>
      </c>
      <c r="L15" s="29">
        <v>4.8600000000000003</v>
      </c>
      <c r="M15" s="31">
        <v>94.2</v>
      </c>
      <c r="N15" s="24"/>
      <c r="O15" s="24"/>
      <c r="P15" s="24"/>
      <c r="Q15" s="24"/>
    </row>
    <row r="16" spans="1:17">
      <c r="A16" s="30">
        <v>30682</v>
      </c>
      <c r="B16" s="28">
        <v>69</v>
      </c>
      <c r="C16" s="28">
        <v>481</v>
      </c>
      <c r="D16" s="28">
        <v>17</v>
      </c>
      <c r="E16" s="28">
        <v>567</v>
      </c>
      <c r="G16" s="30">
        <v>30682</v>
      </c>
      <c r="H16" s="29">
        <v>2116.7890000000002</v>
      </c>
      <c r="I16" s="29">
        <v>2005.037</v>
      </c>
      <c r="J16" s="29">
        <v>1716.646</v>
      </c>
      <c r="K16" s="29">
        <v>283.61599999999999</v>
      </c>
      <c r="L16" s="29">
        <v>4.7750000000000004</v>
      </c>
      <c r="M16" s="31">
        <v>94.7</v>
      </c>
      <c r="N16" s="24"/>
      <c r="O16" s="24"/>
      <c r="P16" s="24"/>
      <c r="Q16" s="24"/>
    </row>
    <row r="17" spans="1:17">
      <c r="A17" s="30">
        <v>31048</v>
      </c>
      <c r="B17" s="28">
        <v>70</v>
      </c>
      <c r="C17" s="28">
        <v>487</v>
      </c>
      <c r="D17" s="28">
        <v>14</v>
      </c>
      <c r="E17" s="28">
        <v>571</v>
      </c>
      <c r="G17" s="30">
        <v>31048</v>
      </c>
      <c r="H17" s="29">
        <v>2133.866</v>
      </c>
      <c r="I17" s="29">
        <v>2030.3320000000001</v>
      </c>
      <c r="J17" s="29">
        <v>1743.8779999999999</v>
      </c>
      <c r="K17" s="29">
        <v>281.053</v>
      </c>
      <c r="L17" s="29">
        <v>5.4009999999999998</v>
      </c>
      <c r="M17" s="31">
        <v>95.1</v>
      </c>
      <c r="N17" s="24"/>
      <c r="O17" s="24"/>
      <c r="P17" s="24"/>
      <c r="Q17" s="24"/>
    </row>
    <row r="18" spans="1:17">
      <c r="A18" s="30">
        <v>31413</v>
      </c>
      <c r="B18" s="28">
        <v>70</v>
      </c>
      <c r="C18" s="28">
        <v>488</v>
      </c>
      <c r="D18" s="28">
        <v>15</v>
      </c>
      <c r="E18" s="28">
        <v>573</v>
      </c>
      <c r="G18" s="30">
        <v>31413</v>
      </c>
      <c r="H18" s="29">
        <v>2141.0990000000002</v>
      </c>
      <c r="I18" s="29">
        <v>2048.1979999999999</v>
      </c>
      <c r="J18" s="29">
        <v>1757.0540000000001</v>
      </c>
      <c r="K18" s="29">
        <v>285.83300000000003</v>
      </c>
      <c r="L18" s="29">
        <v>5.3109999999999999</v>
      </c>
      <c r="M18" s="31">
        <v>95.7</v>
      </c>
      <c r="N18" s="24"/>
      <c r="O18" s="24"/>
      <c r="P18" s="24"/>
      <c r="Q18" s="24"/>
    </row>
    <row r="19" spans="1:17">
      <c r="A19" s="30">
        <v>31778</v>
      </c>
      <c r="B19" s="28">
        <v>70</v>
      </c>
      <c r="C19" s="28">
        <v>484</v>
      </c>
      <c r="D19" s="28">
        <v>14</v>
      </c>
      <c r="E19" s="28">
        <v>568</v>
      </c>
      <c r="G19" s="30">
        <v>31778</v>
      </c>
      <c r="H19" s="29">
        <v>2144.7640000000001</v>
      </c>
      <c r="I19" s="29">
        <v>2055.5549999999998</v>
      </c>
      <c r="J19" s="29">
        <v>1767.5239999999999</v>
      </c>
      <c r="K19" s="29">
        <v>282.68799999999999</v>
      </c>
      <c r="L19" s="29">
        <v>5.343</v>
      </c>
      <c r="M19" s="31">
        <v>95.8</v>
      </c>
      <c r="N19" s="24"/>
      <c r="O19" s="24"/>
      <c r="P19" s="24"/>
      <c r="Q19" s="24"/>
    </row>
    <row r="20" spans="1:17">
      <c r="A20" s="30">
        <v>32143</v>
      </c>
      <c r="B20" s="28">
        <v>70</v>
      </c>
      <c r="C20" s="28">
        <v>481</v>
      </c>
      <c r="D20" s="28">
        <v>14</v>
      </c>
      <c r="E20" s="28">
        <v>565</v>
      </c>
      <c r="G20" s="30">
        <v>32143</v>
      </c>
      <c r="H20" s="29">
        <v>2148.8139999999999</v>
      </c>
      <c r="I20" s="29">
        <v>2068.9450000000002</v>
      </c>
      <c r="J20" s="29">
        <v>1779.7909999999999</v>
      </c>
      <c r="K20" s="29">
        <v>284.35300000000001</v>
      </c>
      <c r="L20" s="29">
        <v>4.8010000000000002</v>
      </c>
      <c r="M20" s="31">
        <v>96.3</v>
      </c>
      <c r="N20" s="24"/>
      <c r="O20" s="24"/>
      <c r="P20" s="24"/>
      <c r="Q20" s="24"/>
    </row>
    <row r="21" spans="1:17">
      <c r="A21" s="30">
        <v>32509</v>
      </c>
      <c r="B21" s="28">
        <v>70</v>
      </c>
      <c r="C21" s="28">
        <v>467</v>
      </c>
      <c r="D21" s="28">
        <v>14</v>
      </c>
      <c r="E21" s="28">
        <v>551</v>
      </c>
      <c r="G21" s="30">
        <v>32509</v>
      </c>
      <c r="H21" s="29">
        <v>2153.377</v>
      </c>
      <c r="I21" s="29">
        <v>2088.62</v>
      </c>
      <c r="J21" s="29">
        <v>1809.482</v>
      </c>
      <c r="K21" s="29">
        <v>274.55700000000002</v>
      </c>
      <c r="L21" s="29">
        <v>4.5810000000000004</v>
      </c>
      <c r="M21" s="31">
        <v>97</v>
      </c>
      <c r="N21" s="24"/>
      <c r="O21" s="24"/>
      <c r="P21" s="24"/>
      <c r="Q21" s="24"/>
    </row>
    <row r="22" spans="1:17">
      <c r="A22" s="30">
        <v>32874</v>
      </c>
      <c r="B22" s="28">
        <v>70</v>
      </c>
      <c r="C22" s="28">
        <v>458</v>
      </c>
      <c r="D22" s="28">
        <v>16</v>
      </c>
      <c r="E22" s="28">
        <v>544</v>
      </c>
      <c r="G22" s="30">
        <v>32874</v>
      </c>
      <c r="H22" s="29">
        <v>2153.0430000000001</v>
      </c>
      <c r="I22" s="29">
        <v>2094.7139999999999</v>
      </c>
      <c r="J22" s="29">
        <v>1820.828</v>
      </c>
      <c r="K22" s="29">
        <v>269.40100000000001</v>
      </c>
      <c r="L22" s="29">
        <v>4.4850000000000003</v>
      </c>
      <c r="M22" s="31">
        <v>97.3</v>
      </c>
      <c r="N22" s="24"/>
      <c r="O22" s="24"/>
      <c r="P22" s="24"/>
      <c r="Q22" s="24"/>
    </row>
    <row r="23" spans="1:17">
      <c r="A23" s="30">
        <v>33239</v>
      </c>
      <c r="B23" s="28">
        <v>70</v>
      </c>
      <c r="C23" s="28">
        <v>457</v>
      </c>
      <c r="D23" s="28">
        <v>14</v>
      </c>
      <c r="E23" s="28">
        <v>541</v>
      </c>
      <c r="G23" s="30">
        <v>33239</v>
      </c>
      <c r="H23" s="29">
        <v>2162.328</v>
      </c>
      <c r="I23" s="29">
        <v>2104.8620000000001</v>
      </c>
      <c r="J23" s="29">
        <v>1833.0329999999999</v>
      </c>
      <c r="K23" s="29">
        <v>267.83300000000003</v>
      </c>
      <c r="L23" s="29">
        <v>3.996</v>
      </c>
      <c r="M23" s="31">
        <v>97.3</v>
      </c>
      <c r="N23" s="24"/>
      <c r="O23" s="24"/>
      <c r="P23" s="24"/>
      <c r="Q23" s="24"/>
    </row>
    <row r="24" spans="1:17">
      <c r="A24" s="30">
        <v>33604</v>
      </c>
      <c r="B24" s="28">
        <v>69</v>
      </c>
      <c r="C24" s="28">
        <v>458</v>
      </c>
      <c r="D24" s="28">
        <v>14</v>
      </c>
      <c r="E24" s="28">
        <v>541</v>
      </c>
      <c r="G24" s="30">
        <v>33604</v>
      </c>
      <c r="H24" s="29">
        <v>2168.58</v>
      </c>
      <c r="I24" s="29">
        <v>2113.6190000000001</v>
      </c>
      <c r="J24" s="29">
        <v>1840.749</v>
      </c>
      <c r="K24" s="29">
        <v>268.38900000000001</v>
      </c>
      <c r="L24" s="29">
        <v>4.4809999999999999</v>
      </c>
      <c r="M24" s="31">
        <v>97.5</v>
      </c>
      <c r="N24" s="24"/>
      <c r="O24" s="24"/>
      <c r="P24" s="24"/>
      <c r="Q24" s="24"/>
    </row>
    <row r="25" spans="1:17">
      <c r="A25" s="30">
        <v>33970</v>
      </c>
      <c r="B25" s="28">
        <v>69</v>
      </c>
      <c r="C25" s="28">
        <v>451</v>
      </c>
      <c r="D25" s="28">
        <v>10</v>
      </c>
      <c r="E25" s="28">
        <v>530</v>
      </c>
      <c r="G25" s="30">
        <v>33970</v>
      </c>
      <c r="H25" s="29">
        <v>2175.6529999999998</v>
      </c>
      <c r="I25" s="29">
        <v>2126.1999999999998</v>
      </c>
      <c r="J25" s="29">
        <v>1851.8489999999999</v>
      </c>
      <c r="K25" s="29">
        <v>270.16500000000002</v>
      </c>
      <c r="L25" s="29">
        <v>4.1859999999999999</v>
      </c>
      <c r="M25" s="31">
        <v>97.7</v>
      </c>
      <c r="N25" s="24"/>
      <c r="O25" s="24"/>
      <c r="P25" s="24"/>
      <c r="Q25" s="24"/>
    </row>
    <row r="26" spans="1:17">
      <c r="A26" s="30">
        <v>34335</v>
      </c>
      <c r="B26" s="28">
        <v>69</v>
      </c>
      <c r="C26" s="28">
        <v>442</v>
      </c>
      <c r="D26" s="28">
        <v>10</v>
      </c>
      <c r="E26" s="28">
        <v>521</v>
      </c>
      <c r="G26" s="30">
        <v>34335</v>
      </c>
      <c r="H26" s="29">
        <v>2187.2849999999999</v>
      </c>
      <c r="I26" s="29">
        <v>2143.4690000000001</v>
      </c>
      <c r="J26" s="29">
        <v>1871.511</v>
      </c>
      <c r="K26" s="29">
        <v>268.31599999999997</v>
      </c>
      <c r="L26" s="29">
        <v>3.6419999999999999</v>
      </c>
      <c r="M26" s="31">
        <v>98</v>
      </c>
      <c r="N26" s="24"/>
      <c r="O26" s="24"/>
      <c r="P26" s="24"/>
      <c r="Q26" s="24"/>
    </row>
    <row r="27" spans="1:17">
      <c r="A27" s="30">
        <v>34700</v>
      </c>
      <c r="B27" s="28">
        <v>69</v>
      </c>
      <c r="C27" s="28">
        <v>435</v>
      </c>
      <c r="D27" s="28">
        <v>11</v>
      </c>
      <c r="E27" s="28">
        <v>515</v>
      </c>
      <c r="G27" s="30">
        <v>34700</v>
      </c>
      <c r="H27" s="29">
        <v>2189.866</v>
      </c>
      <c r="I27" s="29">
        <v>2149.0970000000002</v>
      </c>
      <c r="J27" s="29">
        <v>1878.6669999999999</v>
      </c>
      <c r="K27" s="29">
        <v>266.80799999999999</v>
      </c>
      <c r="L27" s="29">
        <v>3.6219999999999999</v>
      </c>
      <c r="M27" s="31">
        <v>98.1</v>
      </c>
      <c r="N27" s="24"/>
      <c r="O27" s="24"/>
      <c r="P27" s="24"/>
      <c r="Q27" s="24"/>
    </row>
    <row r="28" spans="1:17">
      <c r="A28" s="30">
        <v>35065</v>
      </c>
      <c r="B28" s="28">
        <v>69</v>
      </c>
      <c r="C28" s="28">
        <v>433</v>
      </c>
      <c r="D28" s="28">
        <v>9</v>
      </c>
      <c r="E28" s="28">
        <v>511</v>
      </c>
      <c r="G28" s="30">
        <v>35065</v>
      </c>
      <c r="H28" s="29">
        <v>2196.982</v>
      </c>
      <c r="I28" s="29">
        <v>2159.991</v>
      </c>
      <c r="J28" s="29">
        <v>1885.857</v>
      </c>
      <c r="K28" s="29">
        <v>271.06900000000002</v>
      </c>
      <c r="L28" s="29">
        <v>3.0649999999999999</v>
      </c>
      <c r="M28" s="31">
        <v>98.3</v>
      </c>
      <c r="N28" s="24"/>
      <c r="O28" s="24"/>
      <c r="P28" s="24"/>
      <c r="Q28" s="24"/>
    </row>
    <row r="29" spans="1:17">
      <c r="A29" s="30">
        <v>35431</v>
      </c>
      <c r="B29" s="28">
        <v>69</v>
      </c>
      <c r="C29" s="28">
        <v>419</v>
      </c>
      <c r="D29" s="28">
        <v>14</v>
      </c>
      <c r="E29" s="28">
        <v>502</v>
      </c>
      <c r="G29" s="30">
        <v>35431</v>
      </c>
      <c r="H29" s="29">
        <v>2205.7579999999998</v>
      </c>
      <c r="I29" s="29">
        <v>2169.0709999999999</v>
      </c>
      <c r="J29" s="29">
        <v>1904.63</v>
      </c>
      <c r="K29" s="29">
        <v>261.13099999999997</v>
      </c>
      <c r="L29" s="29">
        <v>3.31</v>
      </c>
      <c r="M29" s="31">
        <v>98.3</v>
      </c>
      <c r="N29" s="24"/>
      <c r="O29" s="24"/>
      <c r="P29" s="24"/>
      <c r="Q29" s="24"/>
    </row>
    <row r="30" spans="1:17">
      <c r="A30" s="30">
        <v>35796</v>
      </c>
      <c r="B30" s="28">
        <v>69</v>
      </c>
      <c r="C30" s="28">
        <v>408</v>
      </c>
      <c r="D30" s="28">
        <v>13</v>
      </c>
      <c r="E30" s="28">
        <v>490</v>
      </c>
      <c r="G30" s="30">
        <v>35796</v>
      </c>
      <c r="H30" s="29">
        <v>2209.4369999999999</v>
      </c>
      <c r="I30" s="29">
        <v>2175.0859999999998</v>
      </c>
      <c r="J30" s="29">
        <v>1910.221</v>
      </c>
      <c r="K30" s="29">
        <v>261.19099999999997</v>
      </c>
      <c r="L30" s="29">
        <v>3.6739999999999999</v>
      </c>
      <c r="M30" s="31">
        <v>98.4</v>
      </c>
      <c r="N30" s="24"/>
      <c r="O30" s="24"/>
      <c r="P30" s="24"/>
      <c r="Q30" s="24"/>
    </row>
    <row r="31" spans="1:17">
      <c r="A31" s="30">
        <v>36161</v>
      </c>
      <c r="B31" s="28">
        <v>69</v>
      </c>
      <c r="C31" s="28">
        <v>398</v>
      </c>
      <c r="D31" s="28">
        <v>12</v>
      </c>
      <c r="E31" s="28">
        <v>479</v>
      </c>
      <c r="G31" s="30">
        <v>36161</v>
      </c>
      <c r="H31" s="29">
        <v>2215.163</v>
      </c>
      <c r="I31" s="29">
        <v>2182.81</v>
      </c>
      <c r="J31" s="29">
        <v>1920.146</v>
      </c>
      <c r="K31" s="29">
        <v>259.50400000000002</v>
      </c>
      <c r="L31" s="29">
        <v>3.16</v>
      </c>
      <c r="M31" s="31">
        <v>98.5</v>
      </c>
      <c r="N31" s="24"/>
      <c r="O31" s="24"/>
      <c r="P31" s="24"/>
      <c r="Q31" s="24"/>
    </row>
    <row r="32" spans="1:17">
      <c r="A32" s="30">
        <v>36526</v>
      </c>
      <c r="B32" s="28">
        <v>69</v>
      </c>
      <c r="C32" s="28">
        <v>387</v>
      </c>
      <c r="D32" s="28">
        <v>11</v>
      </c>
      <c r="E32" s="28">
        <v>467</v>
      </c>
      <c r="G32" s="30">
        <v>36526</v>
      </c>
      <c r="H32" s="29">
        <v>2213</v>
      </c>
      <c r="I32" s="29">
        <v>2183</v>
      </c>
      <c r="J32" s="29">
        <v>1926</v>
      </c>
      <c r="K32" s="29">
        <v>254</v>
      </c>
      <c r="L32" s="29">
        <v>3</v>
      </c>
      <c r="M32" s="31">
        <v>98.7</v>
      </c>
      <c r="N32" s="24"/>
      <c r="O32" s="24"/>
      <c r="P32" s="24"/>
      <c r="Q32" s="24"/>
    </row>
    <row r="33" spans="1:17">
      <c r="A33" s="30">
        <v>36892</v>
      </c>
      <c r="B33" s="28">
        <v>69</v>
      </c>
      <c r="C33" s="28">
        <v>379</v>
      </c>
      <c r="D33" s="28">
        <v>12</v>
      </c>
      <c r="E33" s="28">
        <v>460</v>
      </c>
      <c r="G33" s="30">
        <v>36892</v>
      </c>
      <c r="H33" s="29">
        <v>2209</v>
      </c>
      <c r="I33" s="29">
        <v>2182</v>
      </c>
      <c r="J33" s="29">
        <v>1930</v>
      </c>
      <c r="K33" s="29">
        <v>248</v>
      </c>
      <c r="L33" s="29">
        <v>3</v>
      </c>
      <c r="M33" s="31">
        <v>98.7</v>
      </c>
      <c r="N33" s="24"/>
      <c r="O33" s="24"/>
      <c r="P33" s="24"/>
      <c r="Q33" s="24"/>
    </row>
    <row r="34" spans="1:17">
      <c r="A34" s="32" t="s">
        <v>106</v>
      </c>
      <c r="B34" s="28">
        <v>69</v>
      </c>
      <c r="C34" s="28">
        <v>369</v>
      </c>
      <c r="D34" s="28">
        <v>29</v>
      </c>
      <c r="E34" s="28">
        <f t="shared" ref="E34:E49" si="0">B34+C34+D34</f>
        <v>467</v>
      </c>
      <c r="G34" s="32" t="s">
        <v>107</v>
      </c>
      <c r="H34" s="29">
        <v>2210</v>
      </c>
      <c r="I34" s="29">
        <v>2182</v>
      </c>
      <c r="J34" s="29">
        <v>1933</v>
      </c>
      <c r="K34" s="29">
        <v>244</v>
      </c>
      <c r="L34" s="29">
        <v>5</v>
      </c>
      <c r="M34" s="31">
        <v>98.7</v>
      </c>
      <c r="N34" s="24"/>
      <c r="O34" s="24"/>
      <c r="P34" s="24"/>
      <c r="Q34" s="24"/>
    </row>
    <row r="35" spans="1:17">
      <c r="A35" s="32" t="s">
        <v>108</v>
      </c>
      <c r="B35" s="28">
        <v>69</v>
      </c>
      <c r="C35" s="28">
        <v>362</v>
      </c>
      <c r="D35" s="28">
        <v>37</v>
      </c>
      <c r="E35" s="28">
        <f t="shared" si="0"/>
        <v>468</v>
      </c>
      <c r="G35" s="32" t="s">
        <v>108</v>
      </c>
      <c r="H35" s="29">
        <v>2210</v>
      </c>
      <c r="I35" s="29">
        <v>2185</v>
      </c>
      <c r="J35" s="29">
        <v>1938</v>
      </c>
      <c r="K35" s="29">
        <v>241</v>
      </c>
      <c r="L35" s="29">
        <v>5</v>
      </c>
      <c r="M35" s="31">
        <v>98.9</v>
      </c>
      <c r="N35" s="24"/>
      <c r="O35" s="24"/>
      <c r="P35" s="24"/>
      <c r="Q35" s="24"/>
    </row>
    <row r="36" spans="1:17">
      <c r="A36" s="32" t="s">
        <v>109</v>
      </c>
      <c r="B36" s="28">
        <v>68</v>
      </c>
      <c r="C36" s="28">
        <v>346</v>
      </c>
      <c r="D36" s="28">
        <v>41</v>
      </c>
      <c r="E36" s="28">
        <f t="shared" si="0"/>
        <v>455</v>
      </c>
      <c r="G36" s="32" t="s">
        <v>109</v>
      </c>
      <c r="H36" s="29">
        <v>2204</v>
      </c>
      <c r="I36" s="29">
        <v>2179</v>
      </c>
      <c r="J36" s="29">
        <v>1953</v>
      </c>
      <c r="K36" s="29">
        <v>222</v>
      </c>
      <c r="L36" s="29">
        <v>5</v>
      </c>
      <c r="M36" s="31">
        <v>98.9</v>
      </c>
      <c r="N36" s="24"/>
      <c r="O36" s="24"/>
      <c r="P36" s="24"/>
      <c r="Q36" s="24"/>
    </row>
    <row r="37" spans="1:17">
      <c r="A37" s="32" t="s">
        <v>110</v>
      </c>
      <c r="B37" s="28">
        <v>67</v>
      </c>
      <c r="C37" s="28">
        <v>339</v>
      </c>
      <c r="D37" s="28">
        <v>44</v>
      </c>
      <c r="E37" s="28">
        <f t="shared" si="0"/>
        <v>450</v>
      </c>
      <c r="G37" s="32" t="s">
        <v>110</v>
      </c>
      <c r="H37" s="29">
        <v>2186</v>
      </c>
      <c r="I37" s="29">
        <v>2162</v>
      </c>
      <c r="J37" s="29">
        <v>1938</v>
      </c>
      <c r="K37" s="29">
        <v>219</v>
      </c>
      <c r="L37" s="29">
        <v>5</v>
      </c>
      <c r="M37" s="31">
        <v>98.9</v>
      </c>
      <c r="N37" s="24"/>
      <c r="O37" s="24"/>
    </row>
    <row r="38" spans="1:17">
      <c r="A38" s="32" t="s">
        <v>111</v>
      </c>
      <c r="B38" s="28">
        <v>67</v>
      </c>
      <c r="C38" s="28">
        <v>335</v>
      </c>
      <c r="D38" s="28">
        <v>53</v>
      </c>
      <c r="E38" s="28">
        <f t="shared" si="0"/>
        <v>455</v>
      </c>
      <c r="G38" s="32" t="s">
        <v>111</v>
      </c>
      <c r="H38" s="29">
        <v>2180</v>
      </c>
      <c r="I38" s="29">
        <v>2156</v>
      </c>
      <c r="J38" s="29">
        <v>1936</v>
      </c>
      <c r="K38" s="29">
        <v>215</v>
      </c>
      <c r="L38" s="29">
        <v>5</v>
      </c>
      <c r="M38" s="31">
        <v>98.9</v>
      </c>
      <c r="N38" s="24"/>
      <c r="O38" s="24"/>
    </row>
    <row r="39" spans="1:17">
      <c r="A39" s="32" t="s">
        <v>112</v>
      </c>
      <c r="B39" s="28">
        <v>66</v>
      </c>
      <c r="C39" s="28">
        <v>317</v>
      </c>
      <c r="D39" s="28">
        <v>53</v>
      </c>
      <c r="E39" s="28">
        <f t="shared" si="0"/>
        <v>436</v>
      </c>
      <c r="G39" s="32" t="s">
        <v>112</v>
      </c>
      <c r="H39" s="29">
        <v>2172</v>
      </c>
      <c r="I39" s="29">
        <v>2147</v>
      </c>
      <c r="J39" s="29">
        <v>1930</v>
      </c>
      <c r="K39" s="29">
        <v>213</v>
      </c>
      <c r="L39" s="29">
        <v>4</v>
      </c>
      <c r="M39" s="31">
        <v>98.8</v>
      </c>
      <c r="N39" s="24"/>
      <c r="O39" s="24"/>
    </row>
    <row r="40" spans="1:17">
      <c r="A40" s="32" t="s">
        <v>113</v>
      </c>
      <c r="B40" s="28">
        <v>66</v>
      </c>
      <c r="C40" s="28">
        <v>310</v>
      </c>
      <c r="D40" s="28">
        <v>56</v>
      </c>
      <c r="E40" s="28">
        <f t="shared" si="0"/>
        <v>432</v>
      </c>
      <c r="G40" s="32" t="s">
        <v>113</v>
      </c>
      <c r="H40" s="29">
        <v>2162</v>
      </c>
      <c r="I40" s="29">
        <v>2136</v>
      </c>
      <c r="J40" s="29">
        <v>1923</v>
      </c>
      <c r="K40" s="29">
        <v>209</v>
      </c>
      <c r="L40" s="29">
        <v>4</v>
      </c>
      <c r="M40" s="31">
        <v>98.8</v>
      </c>
      <c r="N40" s="24"/>
      <c r="O40" s="24"/>
    </row>
    <row r="41" spans="1:17">
      <c r="A41" s="32" t="s">
        <v>114</v>
      </c>
      <c r="B41" s="28">
        <v>66</v>
      </c>
      <c r="C41" s="28">
        <v>291</v>
      </c>
      <c r="D41" s="28">
        <v>57</v>
      </c>
      <c r="E41" s="28">
        <f t="shared" si="0"/>
        <v>414</v>
      </c>
      <c r="G41" s="32" t="s">
        <v>114</v>
      </c>
      <c r="H41" s="29">
        <v>2151</v>
      </c>
      <c r="I41" s="29">
        <v>2123</v>
      </c>
      <c r="J41" s="29">
        <v>1915</v>
      </c>
      <c r="K41" s="29">
        <v>206</v>
      </c>
      <c r="L41" s="29">
        <v>2</v>
      </c>
      <c r="M41" s="31">
        <v>98.7</v>
      </c>
      <c r="N41" s="24"/>
      <c r="O41" s="24"/>
    </row>
    <row r="42" spans="1:17">
      <c r="A42" s="33" t="s">
        <v>115</v>
      </c>
      <c r="B42" s="34">
        <v>66</v>
      </c>
      <c r="C42" s="34">
        <v>288</v>
      </c>
      <c r="D42" s="34">
        <v>57</v>
      </c>
      <c r="E42" s="34">
        <f>B42+C42+D42</f>
        <v>411</v>
      </c>
      <c r="G42" s="33" t="s">
        <v>116</v>
      </c>
      <c r="H42" s="35">
        <v>2143</v>
      </c>
      <c r="I42" s="35">
        <v>2118</v>
      </c>
      <c r="J42" s="36">
        <v>1913</v>
      </c>
      <c r="K42" s="36">
        <v>202</v>
      </c>
      <c r="L42" s="36">
        <v>3</v>
      </c>
      <c r="M42" s="37">
        <v>98.8</v>
      </c>
      <c r="N42" s="24"/>
      <c r="O42" s="24"/>
    </row>
    <row r="43" spans="1:17">
      <c r="A43" s="38" t="s">
        <v>117</v>
      </c>
      <c r="B43" s="39">
        <v>66</v>
      </c>
      <c r="C43" s="39">
        <v>270</v>
      </c>
      <c r="D43" s="39">
        <v>60</v>
      </c>
      <c r="E43" s="39">
        <f t="shared" si="0"/>
        <v>396</v>
      </c>
      <c r="F43" s="40"/>
      <c r="G43" s="38" t="s">
        <v>117</v>
      </c>
      <c r="H43" s="41">
        <v>2133</v>
      </c>
      <c r="I43" s="41">
        <v>2109</v>
      </c>
      <c r="J43" s="42">
        <v>1913</v>
      </c>
      <c r="K43" s="42">
        <v>194</v>
      </c>
      <c r="L43" s="42">
        <v>3</v>
      </c>
      <c r="M43" s="43">
        <v>98.9</v>
      </c>
    </row>
    <row r="44" spans="1:17">
      <c r="A44" s="38" t="s">
        <v>118</v>
      </c>
      <c r="B44" s="39">
        <v>64</v>
      </c>
      <c r="C44" s="39">
        <v>267</v>
      </c>
      <c r="D44" s="39">
        <v>69</v>
      </c>
      <c r="E44" s="39">
        <v>400</v>
      </c>
      <c r="F44" s="40"/>
      <c r="G44" s="38" t="s">
        <v>118</v>
      </c>
      <c r="H44" s="41">
        <v>2119</v>
      </c>
      <c r="I44" s="41">
        <v>2096</v>
      </c>
      <c r="J44" s="42">
        <v>1904</v>
      </c>
      <c r="K44" s="42">
        <v>190</v>
      </c>
      <c r="L44" s="42">
        <v>2</v>
      </c>
      <c r="M44" s="43">
        <v>98.9</v>
      </c>
    </row>
    <row r="45" spans="1:17">
      <c r="A45" s="38" t="s">
        <v>119</v>
      </c>
      <c r="B45" s="39">
        <v>64</v>
      </c>
      <c r="C45" s="39">
        <v>254</v>
      </c>
      <c r="D45" s="39">
        <v>59</v>
      </c>
      <c r="E45" s="39">
        <v>377</v>
      </c>
      <c r="F45" s="40"/>
      <c r="G45" s="38" t="s">
        <v>119</v>
      </c>
      <c r="H45" s="41">
        <v>2108</v>
      </c>
      <c r="I45" s="41">
        <v>2084</v>
      </c>
      <c r="J45" s="42">
        <v>1900</v>
      </c>
      <c r="K45" s="42">
        <v>183</v>
      </c>
      <c r="L45" s="42">
        <v>2</v>
      </c>
      <c r="M45" s="43">
        <v>98.9</v>
      </c>
    </row>
    <row r="46" spans="1:17">
      <c r="A46" s="38" t="s">
        <v>120</v>
      </c>
      <c r="B46" s="39">
        <v>65</v>
      </c>
      <c r="C46" s="39">
        <v>241</v>
      </c>
      <c r="D46" s="39">
        <v>63</v>
      </c>
      <c r="E46" s="39">
        <v>369</v>
      </c>
      <c r="F46" s="40"/>
      <c r="G46" s="38" t="s">
        <v>120</v>
      </c>
      <c r="H46" s="41">
        <v>2096</v>
      </c>
      <c r="I46" s="41">
        <v>2072</v>
      </c>
      <c r="J46" s="42">
        <v>1909</v>
      </c>
      <c r="K46" s="42">
        <v>162</v>
      </c>
      <c r="L46" s="42">
        <v>2</v>
      </c>
      <c r="M46" s="43">
        <v>98.9</v>
      </c>
    </row>
    <row r="47" spans="1:17">
      <c r="A47" s="38" t="s">
        <v>121</v>
      </c>
      <c r="B47" s="39">
        <v>65</v>
      </c>
      <c r="C47" s="39">
        <v>222</v>
      </c>
      <c r="D47" s="39">
        <v>63</v>
      </c>
      <c r="E47" s="39">
        <f t="shared" si="0"/>
        <v>350</v>
      </c>
      <c r="G47" s="38" t="s">
        <v>122</v>
      </c>
      <c r="H47" s="41">
        <v>2086</v>
      </c>
      <c r="I47" s="41">
        <v>2062</v>
      </c>
      <c r="J47" s="42">
        <v>1906</v>
      </c>
      <c r="K47" s="42">
        <v>154</v>
      </c>
      <c r="L47" s="42">
        <v>2</v>
      </c>
      <c r="M47" s="43">
        <v>98.8</v>
      </c>
    </row>
    <row r="48" spans="1:17">
      <c r="A48" s="38" t="s">
        <v>123</v>
      </c>
      <c r="B48" s="39">
        <v>62</v>
      </c>
      <c r="C48" s="39">
        <v>216</v>
      </c>
      <c r="D48" s="39">
        <v>64</v>
      </c>
      <c r="E48" s="39">
        <f t="shared" si="0"/>
        <v>342</v>
      </c>
      <c r="G48" s="38" t="s">
        <v>123</v>
      </c>
      <c r="H48" s="41">
        <v>2076</v>
      </c>
      <c r="I48" s="41">
        <v>2053</v>
      </c>
      <c r="J48" s="42">
        <v>1900</v>
      </c>
      <c r="K48" s="42">
        <v>151</v>
      </c>
      <c r="L48" s="42">
        <v>2</v>
      </c>
      <c r="M48" s="43">
        <v>98.9</v>
      </c>
    </row>
    <row r="49" spans="1:18">
      <c r="A49" s="38" t="s">
        <v>124</v>
      </c>
      <c r="B49" s="44">
        <v>61</v>
      </c>
      <c r="C49" s="39">
        <v>131</v>
      </c>
      <c r="D49" s="39">
        <v>66</v>
      </c>
      <c r="E49" s="39">
        <f t="shared" si="0"/>
        <v>258</v>
      </c>
      <c r="G49" s="38" t="s">
        <v>124</v>
      </c>
      <c r="H49" s="41">
        <v>2063</v>
      </c>
      <c r="I49" s="41">
        <v>2038</v>
      </c>
      <c r="J49" s="42">
        <v>1949</v>
      </c>
      <c r="K49" s="42">
        <v>87</v>
      </c>
      <c r="L49" s="42">
        <v>2</v>
      </c>
      <c r="M49" s="43">
        <v>98.8</v>
      </c>
      <c r="R49" s="25"/>
    </row>
    <row r="50" spans="1:18">
      <c r="A50" s="38" t="s">
        <v>125</v>
      </c>
      <c r="B50" s="44">
        <v>61</v>
      </c>
      <c r="C50" s="39">
        <v>126</v>
      </c>
      <c r="D50" s="39">
        <v>68</v>
      </c>
      <c r="E50" s="39">
        <f>SUM(B50:D50)</f>
        <v>255</v>
      </c>
      <c r="G50" s="38" t="s">
        <v>126</v>
      </c>
      <c r="H50" s="41">
        <v>2050</v>
      </c>
      <c r="I50" s="41">
        <v>2028</v>
      </c>
      <c r="J50" s="42">
        <v>1941</v>
      </c>
      <c r="K50" s="42">
        <v>85</v>
      </c>
      <c r="L50" s="42">
        <v>2</v>
      </c>
      <c r="M50" s="43">
        <v>98.9</v>
      </c>
      <c r="R50" s="25"/>
    </row>
    <row r="51" spans="1:18">
      <c r="A51" s="45" t="s">
        <v>127</v>
      </c>
      <c r="B51" s="46">
        <v>61</v>
      </c>
      <c r="C51" s="47">
        <v>124</v>
      </c>
      <c r="D51" s="47">
        <v>69</v>
      </c>
      <c r="E51" s="47">
        <v>254</v>
      </c>
      <c r="G51" s="45" t="s">
        <v>127</v>
      </c>
      <c r="H51" s="48">
        <v>2036</v>
      </c>
      <c r="I51" s="48">
        <v>2016</v>
      </c>
      <c r="J51" s="49">
        <v>1929</v>
      </c>
      <c r="K51" s="49">
        <v>84</v>
      </c>
      <c r="L51" s="49">
        <v>2</v>
      </c>
      <c r="M51" s="50">
        <v>99</v>
      </c>
      <c r="R51" s="25"/>
    </row>
    <row r="52" spans="1:18">
      <c r="H52" s="23" t="s">
        <v>128</v>
      </c>
      <c r="R52" s="25"/>
    </row>
    <row r="53" spans="1:18">
      <c r="G53" s="22" t="s">
        <v>129</v>
      </c>
      <c r="I53" s="23" t="s">
        <v>130</v>
      </c>
      <c r="R53" s="25"/>
    </row>
    <row r="54" spans="1:18">
      <c r="G54" s="26"/>
      <c r="H54" s="27" t="s">
        <v>102</v>
      </c>
      <c r="I54" s="28" t="s">
        <v>103</v>
      </c>
      <c r="J54" s="27" t="s">
        <v>104</v>
      </c>
      <c r="K54" s="27" t="s">
        <v>32</v>
      </c>
      <c r="L54" s="27" t="s">
        <v>33</v>
      </c>
      <c r="M54" s="27" t="s">
        <v>131</v>
      </c>
      <c r="N54" s="29" t="s">
        <v>105</v>
      </c>
      <c r="O54" s="14"/>
    </row>
    <row r="55" spans="1:18">
      <c r="G55" s="51" t="s">
        <v>127</v>
      </c>
      <c r="H55" s="52">
        <v>2035925</v>
      </c>
      <c r="I55" s="52">
        <f>SUM(J55:L55)</f>
        <v>2015631</v>
      </c>
      <c r="J55" s="52">
        <v>1929418</v>
      </c>
      <c r="K55" s="52">
        <v>84307</v>
      </c>
      <c r="L55" s="52">
        <v>1906</v>
      </c>
      <c r="M55" s="52">
        <f>+H55-I55</f>
        <v>20294</v>
      </c>
      <c r="N55" s="53">
        <f>I55/H55</f>
        <v>0.99003204931419375</v>
      </c>
    </row>
    <row r="56" spans="1:18">
      <c r="G56" s="26" t="s">
        <v>35</v>
      </c>
      <c r="H56" s="28"/>
      <c r="I56" s="28"/>
      <c r="J56" s="54">
        <f>+J55/H55</f>
        <v>0.9476861868683768</v>
      </c>
      <c r="K56" s="54">
        <f>+K55/H55</f>
        <v>4.1409678647297908E-2</v>
      </c>
      <c r="L56" s="54">
        <f>+L55/H55</f>
        <v>9.3618379851910061E-4</v>
      </c>
      <c r="M56" s="54">
        <f>+M55/H55</f>
        <v>9.9679506858062067E-3</v>
      </c>
      <c r="N56" s="29"/>
    </row>
  </sheetData>
  <phoneticPr fontId="6"/>
  <pageMargins left="0.78700000000000003" right="0.78700000000000003" top="0.98399999999999999" bottom="0.98399999999999999" header="0.51200000000000001" footer="0.51200000000000001"/>
  <pageSetup paperSize="9" scale="91" orientation="portrait" r:id="rId1"/>
  <headerFooter alignWithMargins="0"/>
  <colBreaks count="1" manualBreakCount="1">
    <brk id="14" max="1048575"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rgb="FF92D050"/>
  </sheetPr>
  <dimension ref="A1:D62"/>
  <sheetViews>
    <sheetView topLeftCell="A52" workbookViewId="0">
      <selection activeCell="L130" sqref="L130"/>
    </sheetView>
  </sheetViews>
  <sheetFormatPr defaultColWidth="9" defaultRowHeight="12"/>
  <cols>
    <col min="1" max="1" width="4.6328125" style="77" customWidth="1"/>
    <col min="2" max="3" width="9.08984375" style="23" customWidth="1"/>
    <col min="4" max="4" width="9" style="55"/>
    <col min="5" max="16384" width="9" style="24"/>
  </cols>
  <sheetData>
    <row r="1" spans="1:4">
      <c r="A1" s="22" t="s">
        <v>132</v>
      </c>
    </row>
    <row r="3" spans="1:4" ht="13.5" customHeight="1">
      <c r="A3" s="56"/>
      <c r="B3" s="57" t="s">
        <v>133</v>
      </c>
      <c r="C3" s="57" t="s">
        <v>134</v>
      </c>
      <c r="D3" s="57" t="s">
        <v>135</v>
      </c>
    </row>
    <row r="4" spans="1:4">
      <c r="A4" s="58"/>
      <c r="B4" s="59" t="s">
        <v>136</v>
      </c>
      <c r="C4" s="60" t="s">
        <v>136</v>
      </c>
      <c r="D4" s="60" t="s">
        <v>136</v>
      </c>
    </row>
    <row r="5" spans="1:4">
      <c r="A5" s="58"/>
      <c r="B5" s="61" t="s">
        <v>137</v>
      </c>
      <c r="C5" s="58" t="s">
        <v>137</v>
      </c>
      <c r="D5" s="58" t="s">
        <v>137</v>
      </c>
    </row>
    <row r="6" spans="1:4">
      <c r="A6" s="58"/>
      <c r="B6" s="61" t="s">
        <v>138</v>
      </c>
      <c r="C6" s="58" t="s">
        <v>138</v>
      </c>
      <c r="D6" s="58" t="s">
        <v>138</v>
      </c>
    </row>
    <row r="7" spans="1:4">
      <c r="A7" s="62">
        <v>23743</v>
      </c>
      <c r="B7" s="63">
        <v>103.60599999999999</v>
      </c>
      <c r="C7" s="63">
        <v>23.541134999999997</v>
      </c>
      <c r="D7" s="63">
        <f>B7+C7</f>
        <v>127.14713499999999</v>
      </c>
    </row>
    <row r="8" spans="1:4">
      <c r="A8" s="62">
        <v>24108</v>
      </c>
      <c r="B8" s="63">
        <v>116.43899999999999</v>
      </c>
      <c r="C8" s="63">
        <v>21.584025</v>
      </c>
      <c r="D8" s="63">
        <f t="shared" ref="D8:D53" si="0">B8+C8</f>
        <v>138.02302499999999</v>
      </c>
    </row>
    <row r="9" spans="1:4">
      <c r="A9" s="62">
        <v>24473</v>
      </c>
      <c r="B9" s="63">
        <v>128.64400000000001</v>
      </c>
      <c r="C9" s="63">
        <v>21.880576000000001</v>
      </c>
      <c r="D9" s="63">
        <f t="shared" si="0"/>
        <v>150.524576</v>
      </c>
    </row>
    <row r="10" spans="1:4">
      <c r="A10" s="62">
        <v>24838</v>
      </c>
      <c r="B10" s="63">
        <v>137.714</v>
      </c>
      <c r="C10" s="63">
        <v>22.316675</v>
      </c>
      <c r="D10" s="63">
        <f t="shared" si="0"/>
        <v>160.030675</v>
      </c>
    </row>
    <row r="11" spans="1:4">
      <c r="A11" s="62">
        <v>25204</v>
      </c>
      <c r="B11" s="63">
        <v>148.78800000000001</v>
      </c>
      <c r="C11" s="63">
        <v>23.539628</v>
      </c>
      <c r="D11" s="63">
        <f t="shared" si="0"/>
        <v>172.327628</v>
      </c>
    </row>
    <row r="12" spans="1:4">
      <c r="A12" s="62">
        <v>25569</v>
      </c>
      <c r="B12" s="63">
        <v>162.69399999999999</v>
      </c>
      <c r="C12" s="63">
        <v>24.757655</v>
      </c>
      <c r="D12" s="63">
        <f t="shared" si="0"/>
        <v>187.45165499999999</v>
      </c>
    </row>
    <row r="13" spans="1:4">
      <c r="A13" s="62">
        <v>25934</v>
      </c>
      <c r="B13" s="63">
        <v>180.667</v>
      </c>
      <c r="C13" s="63">
        <v>24.649947000000001</v>
      </c>
      <c r="D13" s="63">
        <f t="shared" si="0"/>
        <v>205.316947</v>
      </c>
    </row>
    <row r="14" spans="1:4">
      <c r="A14" s="62">
        <v>26299</v>
      </c>
      <c r="B14" s="63">
        <v>184.07599999999999</v>
      </c>
      <c r="C14" s="63">
        <v>25.618380000000002</v>
      </c>
      <c r="D14" s="63">
        <f t="shared" si="0"/>
        <v>209.69438</v>
      </c>
    </row>
    <row r="15" spans="1:4">
      <c r="A15" s="62">
        <v>26665</v>
      </c>
      <c r="B15" s="63">
        <v>200.119</v>
      </c>
      <c r="C15" s="63">
        <v>26.277823999999999</v>
      </c>
      <c r="D15" s="63">
        <f t="shared" si="0"/>
        <v>226.39682400000001</v>
      </c>
    </row>
    <row r="16" spans="1:4">
      <c r="A16" s="62">
        <v>27030</v>
      </c>
      <c r="B16" s="63">
        <v>203.61699999999999</v>
      </c>
      <c r="C16" s="63">
        <v>26.666478999999999</v>
      </c>
      <c r="D16" s="63">
        <f t="shared" si="0"/>
        <v>230.283479</v>
      </c>
    </row>
    <row r="17" spans="1:4">
      <c r="A17" s="62">
        <v>27395</v>
      </c>
      <c r="B17" s="63">
        <v>211.84899999999999</v>
      </c>
      <c r="C17" s="63">
        <v>27.780114000000001</v>
      </c>
      <c r="D17" s="63">
        <f t="shared" si="0"/>
        <v>239.62911399999999</v>
      </c>
    </row>
    <row r="18" spans="1:4">
      <c r="A18" s="62">
        <v>27760</v>
      </c>
      <c r="B18" s="63">
        <v>215.79900000000001</v>
      </c>
      <c r="C18" s="63">
        <v>27.631937000000001</v>
      </c>
      <c r="D18" s="63">
        <f t="shared" si="0"/>
        <v>243.430937</v>
      </c>
    </row>
    <row r="19" spans="1:4">
      <c r="A19" s="62">
        <v>28126</v>
      </c>
      <c r="B19" s="63">
        <v>225.25299999999999</v>
      </c>
      <c r="C19" s="63">
        <v>26.260283000000001</v>
      </c>
      <c r="D19" s="63">
        <f t="shared" si="0"/>
        <v>251.513283</v>
      </c>
    </row>
    <row r="20" spans="1:4">
      <c r="A20" s="62">
        <v>28491</v>
      </c>
      <c r="B20" s="63">
        <v>232.369</v>
      </c>
      <c r="C20" s="63">
        <v>24.508078000000001</v>
      </c>
      <c r="D20" s="63">
        <f t="shared" si="0"/>
        <v>256.87707799999998</v>
      </c>
    </row>
    <row r="21" spans="1:4">
      <c r="A21" s="62">
        <v>28856</v>
      </c>
      <c r="B21" s="63">
        <v>228.95699999999999</v>
      </c>
      <c r="C21" s="63">
        <v>25.208867999999999</v>
      </c>
      <c r="D21" s="63">
        <f t="shared" si="0"/>
        <v>254.16586799999999</v>
      </c>
    </row>
    <row r="22" spans="1:4">
      <c r="A22" s="62">
        <v>29221</v>
      </c>
      <c r="B22" s="63">
        <v>228.595</v>
      </c>
      <c r="C22" s="63">
        <v>25.629007000000001</v>
      </c>
      <c r="D22" s="63">
        <f t="shared" si="0"/>
        <v>254.224007</v>
      </c>
    </row>
    <row r="23" spans="1:4">
      <c r="A23" s="62">
        <v>29587</v>
      </c>
      <c r="B23" s="63">
        <v>238.86799999999999</v>
      </c>
      <c r="C23" s="63">
        <v>25.674308</v>
      </c>
      <c r="D23" s="63">
        <f t="shared" si="0"/>
        <v>264.54230799999999</v>
      </c>
    </row>
    <row r="24" spans="1:4">
      <c r="A24" s="62">
        <v>29952</v>
      </c>
      <c r="B24" s="63">
        <v>239.666</v>
      </c>
      <c r="C24" s="63">
        <v>26.924994999999999</v>
      </c>
      <c r="D24" s="63">
        <f t="shared" si="0"/>
        <v>266.59099500000002</v>
      </c>
    </row>
    <row r="25" spans="1:4">
      <c r="A25" s="62">
        <v>30317</v>
      </c>
      <c r="B25" s="63">
        <v>252.01400000000001</v>
      </c>
      <c r="C25" s="63">
        <v>30.248832</v>
      </c>
      <c r="D25" s="63">
        <f t="shared" si="0"/>
        <v>282.262832</v>
      </c>
    </row>
    <row r="26" spans="1:4">
      <c r="A26" s="62">
        <v>30682</v>
      </c>
      <c r="B26" s="63">
        <v>261.82499999999999</v>
      </c>
      <c r="C26" s="63">
        <v>31.816814999999998</v>
      </c>
      <c r="D26" s="63">
        <f t="shared" si="0"/>
        <v>293.64181500000001</v>
      </c>
    </row>
    <row r="27" spans="1:4">
      <c r="A27" s="62">
        <v>31048</v>
      </c>
      <c r="B27" s="63">
        <v>261.42599999999999</v>
      </c>
      <c r="C27" s="63">
        <v>31.352318</v>
      </c>
      <c r="D27" s="63">
        <f t="shared" si="0"/>
        <v>292.77831800000001</v>
      </c>
    </row>
    <row r="28" spans="1:4">
      <c r="A28" s="62">
        <v>31413</v>
      </c>
      <c r="B28" s="63">
        <v>261.48200000000003</v>
      </c>
      <c r="C28" s="63">
        <v>33.068407000000001</v>
      </c>
      <c r="D28" s="63">
        <f t="shared" si="0"/>
        <v>294.55040700000001</v>
      </c>
    </row>
    <row r="29" spans="1:4">
      <c r="A29" s="62">
        <v>31778</v>
      </c>
      <c r="B29" s="63">
        <v>264.96199999999999</v>
      </c>
      <c r="C29" s="63">
        <v>32.903148000000002</v>
      </c>
      <c r="D29" s="63">
        <f t="shared" si="0"/>
        <v>297.86514799999998</v>
      </c>
    </row>
    <row r="30" spans="1:4">
      <c r="A30" s="62">
        <v>32143</v>
      </c>
      <c r="B30" s="63">
        <v>266.19900000000001</v>
      </c>
      <c r="C30" s="63">
        <v>34.719571999999999</v>
      </c>
      <c r="D30" s="63">
        <f t="shared" si="0"/>
        <v>300.91857200000004</v>
      </c>
    </row>
    <row r="31" spans="1:4">
      <c r="A31" s="62">
        <v>32509</v>
      </c>
      <c r="B31" s="63">
        <v>271.93099999999998</v>
      </c>
      <c r="C31" s="63">
        <v>33.091499000000006</v>
      </c>
      <c r="D31" s="63">
        <f t="shared" si="0"/>
        <v>305.02249899999998</v>
      </c>
    </row>
    <row r="32" spans="1:4">
      <c r="A32" s="62">
        <v>32874</v>
      </c>
      <c r="B32" s="63">
        <v>281.14600000000002</v>
      </c>
      <c r="C32" s="63">
        <v>33.728184999999996</v>
      </c>
      <c r="D32" s="63">
        <f t="shared" si="0"/>
        <v>314.87418500000001</v>
      </c>
    </row>
    <row r="33" spans="1:4">
      <c r="A33" s="62">
        <v>33239</v>
      </c>
      <c r="B33" s="63">
        <v>281.05500000000001</v>
      </c>
      <c r="C33" s="63">
        <v>35.683340999999999</v>
      </c>
      <c r="D33" s="63">
        <f t="shared" si="0"/>
        <v>316.73834099999999</v>
      </c>
    </row>
    <row r="34" spans="1:4">
      <c r="A34" s="62">
        <v>33604</v>
      </c>
      <c r="B34" s="63">
        <v>283.39999999999998</v>
      </c>
      <c r="C34" s="63">
        <v>37.655875999999999</v>
      </c>
      <c r="D34" s="63">
        <f t="shared" si="0"/>
        <v>321.05587599999996</v>
      </c>
    </row>
    <row r="35" spans="1:4">
      <c r="A35" s="62">
        <v>33970</v>
      </c>
      <c r="B35" s="63">
        <v>281.06599999999997</v>
      </c>
      <c r="C35" s="63">
        <v>36.868911999999995</v>
      </c>
      <c r="D35" s="63">
        <f t="shared" si="0"/>
        <v>317.93491199999994</v>
      </c>
    </row>
    <row r="36" spans="1:4">
      <c r="A36" s="62">
        <v>34335</v>
      </c>
      <c r="B36" s="63">
        <v>291.44400000000002</v>
      </c>
      <c r="C36" s="63">
        <v>37.682248000000001</v>
      </c>
      <c r="D36" s="63">
        <f t="shared" si="0"/>
        <v>329.12624800000003</v>
      </c>
    </row>
    <row r="37" spans="1:4">
      <c r="A37" s="62">
        <v>34700</v>
      </c>
      <c r="B37" s="63">
        <v>294.61399999999998</v>
      </c>
      <c r="C37" s="63">
        <v>38.020116000000002</v>
      </c>
      <c r="D37" s="63">
        <f t="shared" si="0"/>
        <v>332.63411599999995</v>
      </c>
    </row>
    <row r="38" spans="1:4">
      <c r="A38" s="62">
        <v>35065</v>
      </c>
      <c r="B38" s="63">
        <v>297.31400000000002</v>
      </c>
      <c r="C38" s="63">
        <v>38.528711000000001</v>
      </c>
      <c r="D38" s="63">
        <f t="shared" si="0"/>
        <v>335.84271100000001</v>
      </c>
    </row>
    <row r="39" spans="1:4">
      <c r="A39" s="62">
        <v>35431</v>
      </c>
      <c r="B39" s="63">
        <v>297.59800000000001</v>
      </c>
      <c r="C39" s="63">
        <v>37.620714</v>
      </c>
      <c r="D39" s="63">
        <f t="shared" si="0"/>
        <v>335.21871400000003</v>
      </c>
    </row>
    <row r="40" spans="1:4">
      <c r="A40" s="62">
        <v>35796</v>
      </c>
      <c r="B40" s="63">
        <v>292.28399999999999</v>
      </c>
      <c r="C40" s="63">
        <v>36.817197999999998</v>
      </c>
      <c r="D40" s="63">
        <f t="shared" si="0"/>
        <v>329.10119800000001</v>
      </c>
    </row>
    <row r="41" spans="1:4">
      <c r="A41" s="62">
        <v>36161</v>
      </c>
      <c r="B41" s="63">
        <v>291.767</v>
      </c>
      <c r="C41" s="63">
        <v>37.501202999999997</v>
      </c>
      <c r="D41" s="63">
        <f t="shared" si="0"/>
        <v>329.26820299999997</v>
      </c>
    </row>
    <row r="42" spans="1:4">
      <c r="A42" s="62">
        <v>36526</v>
      </c>
      <c r="B42" s="63">
        <v>293</v>
      </c>
      <c r="C42" s="63">
        <v>37</v>
      </c>
      <c r="D42" s="63">
        <f t="shared" si="0"/>
        <v>330</v>
      </c>
    </row>
    <row r="43" spans="1:4">
      <c r="A43" s="62">
        <v>36892</v>
      </c>
      <c r="B43" s="63">
        <v>289</v>
      </c>
      <c r="C43" s="63">
        <v>36</v>
      </c>
      <c r="D43" s="63">
        <f t="shared" si="0"/>
        <v>325</v>
      </c>
    </row>
    <row r="44" spans="1:4">
      <c r="A44" s="64" t="s">
        <v>139</v>
      </c>
      <c r="B44" s="63">
        <v>283</v>
      </c>
      <c r="C44" s="63">
        <v>36</v>
      </c>
      <c r="D44" s="63">
        <f t="shared" si="0"/>
        <v>319</v>
      </c>
    </row>
    <row r="45" spans="1:4">
      <c r="A45" s="64" t="s">
        <v>108</v>
      </c>
      <c r="B45" s="63">
        <v>279</v>
      </c>
      <c r="C45" s="63">
        <v>36</v>
      </c>
      <c r="D45" s="63">
        <f t="shared" si="0"/>
        <v>315</v>
      </c>
    </row>
    <row r="46" spans="1:4">
      <c r="A46" s="64" t="s">
        <v>140</v>
      </c>
      <c r="B46" s="63">
        <v>280</v>
      </c>
      <c r="C46" s="63">
        <v>34</v>
      </c>
      <c r="D46" s="63">
        <f t="shared" si="0"/>
        <v>314</v>
      </c>
    </row>
    <row r="47" spans="1:4">
      <c r="A47" s="64" t="s">
        <v>110</v>
      </c>
      <c r="B47" s="63">
        <v>280</v>
      </c>
      <c r="C47" s="63">
        <v>34</v>
      </c>
      <c r="D47" s="63">
        <f t="shared" si="0"/>
        <v>314</v>
      </c>
    </row>
    <row r="48" spans="1:4">
      <c r="A48" s="64" t="s">
        <v>141</v>
      </c>
      <c r="B48" s="63">
        <v>278</v>
      </c>
      <c r="C48" s="63">
        <v>34</v>
      </c>
      <c r="D48" s="63">
        <f t="shared" si="0"/>
        <v>312</v>
      </c>
    </row>
    <row r="49" spans="1:4">
      <c r="A49" s="64" t="s">
        <v>142</v>
      </c>
      <c r="B49" s="63">
        <v>275</v>
      </c>
      <c r="C49" s="63">
        <v>34</v>
      </c>
      <c r="D49" s="63">
        <f t="shared" si="0"/>
        <v>309</v>
      </c>
    </row>
    <row r="50" spans="1:4">
      <c r="A50" s="64" t="s">
        <v>143</v>
      </c>
      <c r="B50" s="63">
        <v>267</v>
      </c>
      <c r="C50" s="63">
        <v>33</v>
      </c>
      <c r="D50" s="63">
        <f t="shared" si="0"/>
        <v>300</v>
      </c>
    </row>
    <row r="51" spans="1:4">
      <c r="A51" s="64" t="s">
        <v>144</v>
      </c>
      <c r="B51" s="65">
        <v>260</v>
      </c>
      <c r="C51" s="65">
        <v>33</v>
      </c>
      <c r="D51" s="65">
        <f t="shared" si="0"/>
        <v>293</v>
      </c>
    </row>
    <row r="52" spans="1:4">
      <c r="A52" s="66" t="s">
        <v>115</v>
      </c>
      <c r="B52" s="67">
        <v>263</v>
      </c>
      <c r="C52" s="68">
        <v>32</v>
      </c>
      <c r="D52" s="69">
        <f>B52+C52</f>
        <v>295</v>
      </c>
    </row>
    <row r="53" spans="1:4">
      <c r="A53" s="70" t="s">
        <v>145</v>
      </c>
      <c r="B53" s="71">
        <v>259</v>
      </c>
      <c r="C53" s="72">
        <v>31</v>
      </c>
      <c r="D53" s="73">
        <f t="shared" si="0"/>
        <v>290</v>
      </c>
    </row>
    <row r="54" spans="1:4">
      <c r="A54" s="70" t="s">
        <v>118</v>
      </c>
      <c r="B54" s="71">
        <v>257</v>
      </c>
      <c r="C54" s="72">
        <v>31</v>
      </c>
      <c r="D54" s="73">
        <v>288</v>
      </c>
    </row>
    <row r="55" spans="1:4">
      <c r="A55" s="70" t="s">
        <v>119</v>
      </c>
      <c r="B55" s="71">
        <v>257</v>
      </c>
      <c r="C55" s="72">
        <v>31</v>
      </c>
      <c r="D55" s="73">
        <v>288</v>
      </c>
    </row>
    <row r="56" spans="1:4">
      <c r="A56" s="70" t="s">
        <v>120</v>
      </c>
      <c r="B56" s="71">
        <v>254</v>
      </c>
      <c r="C56" s="72">
        <v>29</v>
      </c>
      <c r="D56" s="73">
        <v>274</v>
      </c>
    </row>
    <row r="57" spans="1:4">
      <c r="A57" s="70" t="s">
        <v>122</v>
      </c>
      <c r="B57" s="71">
        <v>255</v>
      </c>
      <c r="C57" s="72">
        <v>27</v>
      </c>
      <c r="D57" s="73">
        <f>B57+C57</f>
        <v>282</v>
      </c>
    </row>
    <row r="58" spans="1:4">
      <c r="A58" s="70" t="s">
        <v>123</v>
      </c>
      <c r="B58" s="71">
        <v>255</v>
      </c>
      <c r="C58" s="72">
        <v>26</v>
      </c>
      <c r="D58" s="73">
        <f>B58+C58</f>
        <v>281</v>
      </c>
    </row>
    <row r="59" spans="1:4">
      <c r="A59" s="70" t="s">
        <v>146</v>
      </c>
      <c r="B59" s="71">
        <v>263</v>
      </c>
      <c r="C59" s="72">
        <v>17</v>
      </c>
      <c r="D59" s="73">
        <f>B59+C59</f>
        <v>280</v>
      </c>
    </row>
    <row r="60" spans="1:4">
      <c r="A60" s="70" t="s">
        <v>125</v>
      </c>
      <c r="B60" s="71">
        <v>263</v>
      </c>
      <c r="C60" s="72">
        <v>17</v>
      </c>
      <c r="D60" s="73">
        <f>B60+C60</f>
        <v>280</v>
      </c>
    </row>
    <row r="61" spans="1:4">
      <c r="A61" s="74" t="s">
        <v>127</v>
      </c>
      <c r="B61" s="75">
        <v>260</v>
      </c>
      <c r="C61" s="75">
        <v>17</v>
      </c>
      <c r="D61" s="76">
        <v>276</v>
      </c>
    </row>
    <row r="62" spans="1:4">
      <c r="B62" s="23" t="s">
        <v>147</v>
      </c>
      <c r="C62" s="23" t="s">
        <v>148</v>
      </c>
    </row>
  </sheetData>
  <phoneticPr fontId="6"/>
  <pageMargins left="0.78700000000000003" right="0.78700000000000003" top="0.98399999999999999" bottom="0.98399999999999999" header="0.51200000000000001" footer="0.51200000000000001"/>
  <pageSetup paperSize="9" orientation="portrait" horizontalDpi="4294967292"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rgb="FF92D050"/>
  </sheetPr>
  <dimension ref="A1:G23"/>
  <sheetViews>
    <sheetView workbookViewId="0">
      <selection activeCell="L130" sqref="L130"/>
    </sheetView>
  </sheetViews>
  <sheetFormatPr defaultColWidth="9" defaultRowHeight="12"/>
  <cols>
    <col min="1" max="2" width="9" style="24"/>
    <col min="3" max="3" width="11.08984375" style="24" customWidth="1"/>
    <col min="4" max="4" width="12.08984375" style="24" customWidth="1"/>
    <col min="5" max="6" width="9.08984375" style="24" customWidth="1"/>
    <col min="7" max="7" width="11.08984375" style="24" bestFit="1" customWidth="1"/>
    <col min="8" max="8" width="12.08984375" style="24" bestFit="1" customWidth="1"/>
    <col min="9" max="9" width="11.08984375" style="24" bestFit="1" customWidth="1"/>
    <col min="10" max="10" width="12.08984375" style="24" bestFit="1" customWidth="1"/>
    <col min="11" max="16384" width="9" style="24"/>
  </cols>
  <sheetData>
    <row r="1" spans="1:7">
      <c r="B1" s="78"/>
      <c r="C1" s="78"/>
      <c r="D1" s="78"/>
      <c r="E1" s="78"/>
      <c r="F1" s="78" t="s">
        <v>149</v>
      </c>
    </row>
    <row r="2" spans="1:7">
      <c r="A2" s="22" t="s">
        <v>150</v>
      </c>
      <c r="B2" s="78" t="s">
        <v>151</v>
      </c>
      <c r="C2" s="78" t="s">
        <v>152</v>
      </c>
      <c r="D2" s="79" t="s">
        <v>153</v>
      </c>
      <c r="E2" s="79" t="s">
        <v>154</v>
      </c>
      <c r="F2" s="79" t="s">
        <v>155</v>
      </c>
    </row>
    <row r="3" spans="1:7">
      <c r="A3" s="24" t="s">
        <v>156</v>
      </c>
      <c r="B3" s="24">
        <f>100/8</f>
        <v>12.5</v>
      </c>
      <c r="C3" s="80">
        <f>ROUND((C14/$C$22)*100,2)</f>
        <v>22.36</v>
      </c>
      <c r="D3" s="80">
        <f>ROUND((D14/D13)*100,2)</f>
        <v>1.57</v>
      </c>
      <c r="E3" s="80">
        <f>ROUND((E14/E13)*100,2)</f>
        <v>9.17</v>
      </c>
      <c r="F3" s="80">
        <f>ROUND((F14/F13)*100,2)</f>
        <v>86.83</v>
      </c>
    </row>
    <row r="4" spans="1:7">
      <c r="A4" s="24" t="s">
        <v>157</v>
      </c>
      <c r="B4" s="24">
        <f t="shared" ref="B4:B10" si="0">100/8</f>
        <v>12.5</v>
      </c>
      <c r="C4" s="80">
        <f t="shared" ref="C4:C9" si="1">ROUND((C15/$C$22)*100,2)</f>
        <v>0.06</v>
      </c>
      <c r="D4" s="80">
        <f>ROUND((D15/D13)*100,2)</f>
        <v>0.8</v>
      </c>
      <c r="E4" s="80">
        <f>ROUND((E15/E13)*100,2)</f>
        <v>0</v>
      </c>
      <c r="F4" s="80">
        <f>ROUND((F15/F13)*100,2)</f>
        <v>0</v>
      </c>
    </row>
    <row r="5" spans="1:7">
      <c r="A5" s="24" t="s">
        <v>158</v>
      </c>
      <c r="B5" s="24">
        <f t="shared" si="0"/>
        <v>12.5</v>
      </c>
      <c r="C5" s="80">
        <f t="shared" si="1"/>
        <v>22.91</v>
      </c>
      <c r="D5" s="80">
        <f>ROUND((D16/D13)*100,2)</f>
        <v>31.34</v>
      </c>
      <c r="E5" s="80">
        <f>ROUND((E16/E13)*100,2)</f>
        <v>22.3</v>
      </c>
      <c r="F5" s="80">
        <f>ROUND((F16/F13)*100,2)</f>
        <v>0</v>
      </c>
    </row>
    <row r="6" spans="1:7">
      <c r="A6" s="24" t="s">
        <v>159</v>
      </c>
      <c r="B6" s="24">
        <f t="shared" si="0"/>
        <v>12.5</v>
      </c>
      <c r="C6" s="80">
        <f t="shared" si="1"/>
        <v>4.43</v>
      </c>
      <c r="D6" s="80">
        <f>ROUND((D17/D13)*100,2)</f>
        <v>18.32</v>
      </c>
      <c r="E6" s="80">
        <f>ROUND((E17/E13)*100,2)</f>
        <v>3.32</v>
      </c>
      <c r="F6" s="80">
        <f>ROUND((F17/F13)*100,2)</f>
        <v>0</v>
      </c>
    </row>
    <row r="7" spans="1:7">
      <c r="A7" s="24" t="s">
        <v>160</v>
      </c>
      <c r="B7" s="24">
        <f t="shared" si="0"/>
        <v>12.5</v>
      </c>
      <c r="C7" s="80">
        <f t="shared" si="1"/>
        <v>5.45</v>
      </c>
      <c r="D7" s="80">
        <f>ROUND((D18/D13)*100,2)</f>
        <v>0.43</v>
      </c>
      <c r="E7" s="80">
        <f>ROUND((E18/E13)*100,2)</f>
        <v>5.87</v>
      </c>
      <c r="F7" s="80">
        <f>ROUND((F18/F13)*100,2)</f>
        <v>0</v>
      </c>
    </row>
    <row r="8" spans="1:7">
      <c r="A8" s="24" t="s">
        <v>161</v>
      </c>
      <c r="B8" s="24">
        <f t="shared" si="0"/>
        <v>12.5</v>
      </c>
      <c r="C8" s="80">
        <f t="shared" si="1"/>
        <v>25.63</v>
      </c>
      <c r="D8" s="80">
        <f>ROUND((D19/D13)*100,2)</f>
        <v>11.39</v>
      </c>
      <c r="E8" s="80">
        <f>ROUND((E19/E13)*100,2)</f>
        <v>26.35</v>
      </c>
      <c r="F8" s="80">
        <f>ROUND((F19/F13)*100,2)</f>
        <v>2.9</v>
      </c>
    </row>
    <row r="9" spans="1:7">
      <c r="A9" s="24" t="s">
        <v>162</v>
      </c>
      <c r="B9" s="24">
        <f t="shared" si="0"/>
        <v>12.5</v>
      </c>
      <c r="C9" s="80">
        <f t="shared" si="1"/>
        <v>19.16</v>
      </c>
      <c r="D9" s="80">
        <f>ROUND((D20/D13)*100,2)</f>
        <v>35.17</v>
      </c>
      <c r="E9" s="80">
        <f>ROUND((E20/E13)*100,2)</f>
        <v>16.16</v>
      </c>
      <c r="F9" s="80">
        <f>ROUND((F20/F13)*100,2)</f>
        <v>10.27</v>
      </c>
    </row>
    <row r="10" spans="1:7">
      <c r="A10" s="24" t="s">
        <v>163</v>
      </c>
      <c r="B10" s="24">
        <f t="shared" si="0"/>
        <v>12.5</v>
      </c>
      <c r="C10" s="80">
        <v>0</v>
      </c>
      <c r="D10" s="80">
        <f>ROUND((D21/D13)*100,2)</f>
        <v>0.99</v>
      </c>
      <c r="E10" s="80">
        <f>ROUND((E21/E13)*100,2)</f>
        <v>16.829999999999998</v>
      </c>
      <c r="F10" s="80">
        <f>ROUND((F21/F13)*100,2)</f>
        <v>0</v>
      </c>
    </row>
    <row r="13" spans="1:7" ht="12.5" thickBot="1">
      <c r="C13" s="81">
        <f>SUM(C14:C21)</f>
        <v>373971.41499999998</v>
      </c>
      <c r="D13" s="81">
        <f>SUM(D14:D21)</f>
        <v>23995.415000000001</v>
      </c>
      <c r="E13" s="81">
        <f>SUM(E14:E21)</f>
        <v>298647</v>
      </c>
      <c r="F13" s="81">
        <f>SUM(F14:F21)</f>
        <v>51329</v>
      </c>
    </row>
    <row r="14" spans="1:7" ht="12.5" thickTop="1">
      <c r="A14" s="24" t="s">
        <v>156</v>
      </c>
      <c r="C14" s="81">
        <f t="shared" ref="C14:C21" si="2">SUM(D14:F14)</f>
        <v>72336.444000000003</v>
      </c>
      <c r="D14" s="82">
        <v>376.44400000000002</v>
      </c>
      <c r="E14" s="83">
        <v>27393</v>
      </c>
      <c r="F14" s="84">
        <v>44567</v>
      </c>
      <c r="G14" s="24" t="s">
        <v>164</v>
      </c>
    </row>
    <row r="15" spans="1:7">
      <c r="A15" s="24" t="s">
        <v>157</v>
      </c>
      <c r="C15" s="81">
        <f t="shared" si="2"/>
        <v>191.2</v>
      </c>
      <c r="D15" s="85">
        <v>191.2</v>
      </c>
      <c r="E15" s="86">
        <v>0</v>
      </c>
      <c r="F15" s="87">
        <v>0</v>
      </c>
    </row>
    <row r="16" spans="1:7">
      <c r="A16" s="24" t="s">
        <v>158</v>
      </c>
      <c r="C16" s="81">
        <f t="shared" si="2"/>
        <v>74103.986000000004</v>
      </c>
      <c r="D16" s="88">
        <v>7518.9859999999999</v>
      </c>
      <c r="E16" s="86">
        <v>66585</v>
      </c>
      <c r="F16" s="87">
        <v>0</v>
      </c>
    </row>
    <row r="17" spans="1:7">
      <c r="A17" s="24" t="s">
        <v>159</v>
      </c>
      <c r="C17" s="81">
        <f t="shared" si="2"/>
        <v>14322.071</v>
      </c>
      <c r="D17" s="88">
        <v>4396.0709999999999</v>
      </c>
      <c r="E17" s="86">
        <v>9926</v>
      </c>
      <c r="F17" s="87">
        <v>0</v>
      </c>
      <c r="G17" s="24" t="s">
        <v>165</v>
      </c>
    </row>
    <row r="18" spans="1:7">
      <c r="A18" s="24" t="s">
        <v>160</v>
      </c>
      <c r="C18" s="81">
        <f t="shared" si="2"/>
        <v>17624.687999999998</v>
      </c>
      <c r="D18" s="85">
        <v>102.688</v>
      </c>
      <c r="E18" s="86">
        <v>17522</v>
      </c>
      <c r="F18" s="87">
        <v>0</v>
      </c>
    </row>
    <row r="19" spans="1:7">
      <c r="A19" s="24" t="s">
        <v>161</v>
      </c>
      <c r="C19" s="81">
        <f t="shared" si="2"/>
        <v>82917.384000000005</v>
      </c>
      <c r="D19" s="85">
        <v>2732.384</v>
      </c>
      <c r="E19" s="86">
        <v>78697</v>
      </c>
      <c r="F19" s="87">
        <v>1488</v>
      </c>
    </row>
    <row r="20" spans="1:7">
      <c r="A20" s="24" t="s">
        <v>162</v>
      </c>
      <c r="C20" s="81">
        <f t="shared" si="2"/>
        <v>61973.447</v>
      </c>
      <c r="D20" s="88">
        <v>8439.4470000000001</v>
      </c>
      <c r="E20" s="86">
        <v>48260</v>
      </c>
      <c r="F20" s="87">
        <v>5274</v>
      </c>
    </row>
    <row r="21" spans="1:7" ht="12.5" thickBot="1">
      <c r="A21" s="24" t="s">
        <v>166</v>
      </c>
      <c r="C21" s="81">
        <f t="shared" si="2"/>
        <v>50502.195</v>
      </c>
      <c r="D21" s="89">
        <v>238.19499999999999</v>
      </c>
      <c r="E21" s="90">
        <v>50264</v>
      </c>
      <c r="F21" s="91"/>
    </row>
    <row r="22" spans="1:7" ht="12.5" thickTop="1">
      <c r="C22" s="81">
        <f>SUM(C14:C20)</f>
        <v>323469.21999999997</v>
      </c>
      <c r="D22" s="81"/>
      <c r="E22" s="81"/>
      <c r="F22" s="81"/>
    </row>
    <row r="23" spans="1:7">
      <c r="A23" s="24" t="s">
        <v>167</v>
      </c>
    </row>
  </sheetData>
  <phoneticPr fontId="6"/>
  <pageMargins left="0.78700000000000003" right="0.78700000000000003" top="0.98399999999999999" bottom="0.98399999999999999" header="0.51200000000000001" footer="0.51200000000000001"/>
  <pageSetup paperSize="9" orientation="portrait" r:id="rId1"/>
  <headerFooter alignWithMargins="0"/>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rgb="FF92D050"/>
  </sheetPr>
  <dimension ref="A1:J17"/>
  <sheetViews>
    <sheetView workbookViewId="0">
      <selection activeCell="L130" sqref="L130"/>
    </sheetView>
  </sheetViews>
  <sheetFormatPr defaultColWidth="9" defaultRowHeight="12"/>
  <cols>
    <col min="1" max="1" width="11.6328125" style="24" customWidth="1"/>
    <col min="2" max="5" width="11.6328125" style="96" customWidth="1"/>
    <col min="6" max="6" width="11.6328125" style="24" customWidth="1"/>
    <col min="7" max="7" width="4.453125" style="24" customWidth="1"/>
    <col min="8" max="16384" width="9" style="24"/>
  </cols>
  <sheetData>
    <row r="1" spans="1:10" ht="15" customHeight="1">
      <c r="A1" s="26"/>
      <c r="B1" s="92" t="s">
        <v>168</v>
      </c>
      <c r="C1" s="92" t="s">
        <v>169</v>
      </c>
      <c r="D1" s="92" t="s">
        <v>170</v>
      </c>
      <c r="E1" s="93" t="s">
        <v>171</v>
      </c>
    </row>
    <row r="2" spans="1:10" ht="15" customHeight="1">
      <c r="A2" s="26"/>
      <c r="B2" s="92"/>
      <c r="C2" s="92"/>
      <c r="D2" s="92"/>
      <c r="E2" s="93"/>
    </row>
    <row r="3" spans="1:10" ht="15" customHeight="1">
      <c r="A3" s="94" t="s">
        <v>32</v>
      </c>
      <c r="B3" s="95">
        <f>B11/$F11*100</f>
        <v>65.314238446003088</v>
      </c>
      <c r="C3" s="95">
        <f>C11/$F11*100</f>
        <v>5.9269094551149335</v>
      </c>
      <c r="D3" s="95">
        <f>D11/$F11*100</f>
        <v>21.41543121754658</v>
      </c>
      <c r="E3" s="95">
        <f>E11/$F11*100</f>
        <v>7.3434208813354234</v>
      </c>
      <c r="F3" s="80">
        <f>SUM(B3:E3)</f>
        <v>100.00000000000003</v>
      </c>
    </row>
    <row r="4" spans="1:10" ht="15" customHeight="1">
      <c r="A4" s="94" t="s">
        <v>172</v>
      </c>
      <c r="B4" s="95">
        <f t="shared" ref="B4:E5" si="0">B12/$F12*100</f>
        <v>60.105416290745204</v>
      </c>
      <c r="C4" s="95">
        <f t="shared" si="0"/>
        <v>9.7179833630473169</v>
      </c>
      <c r="D4" s="95">
        <f t="shared" si="0"/>
        <v>28.31001541098108</v>
      </c>
      <c r="E4" s="95">
        <f t="shared" si="0"/>
        <v>1.8665849352263946</v>
      </c>
      <c r="F4" s="80">
        <f>SUM(B4:E4)</f>
        <v>100</v>
      </c>
    </row>
    <row r="5" spans="1:10" ht="15" customHeight="1">
      <c r="A5" s="94" t="s">
        <v>173</v>
      </c>
      <c r="B5" s="95">
        <f t="shared" si="0"/>
        <v>12.703066804025676</v>
      </c>
      <c r="C5" s="95">
        <f t="shared" si="0"/>
        <v>0</v>
      </c>
      <c r="D5" s="95">
        <f t="shared" si="0"/>
        <v>87.296933195974319</v>
      </c>
      <c r="E5" s="95">
        <f t="shared" si="0"/>
        <v>0</v>
      </c>
      <c r="F5" s="80">
        <f>SUM(B5:E5)</f>
        <v>100</v>
      </c>
    </row>
    <row r="6" spans="1:10" ht="15" customHeight="1"/>
    <row r="7" spans="1:10" ht="15" customHeight="1">
      <c r="A7" s="22" t="s">
        <v>174</v>
      </c>
    </row>
    <row r="8" spans="1:10" ht="15" customHeight="1"/>
    <row r="9" spans="1:10" ht="15" customHeight="1">
      <c r="B9" s="96" t="s">
        <v>175</v>
      </c>
      <c r="C9" s="96" t="s">
        <v>176</v>
      </c>
      <c r="D9" s="96" t="s">
        <v>177</v>
      </c>
      <c r="E9" s="96" t="s">
        <v>171</v>
      </c>
      <c r="F9" s="24" t="s">
        <v>34</v>
      </c>
    </row>
    <row r="10" spans="1:10" ht="15" customHeight="1" thickBot="1"/>
    <row r="11" spans="1:10" ht="15" customHeight="1" thickTop="1">
      <c r="A11" s="24" t="s">
        <v>32</v>
      </c>
      <c r="B11" s="97">
        <f>(I12+J12)/1000</f>
        <v>13761.712</v>
      </c>
      <c r="C11" s="98">
        <v>1248.8</v>
      </c>
      <c r="D11" s="98">
        <v>4512.232</v>
      </c>
      <c r="E11" s="98">
        <v>1547.259</v>
      </c>
      <c r="F11" s="99">
        <f>B11+C11+D11+E11</f>
        <v>21070.002999999997</v>
      </c>
      <c r="G11" s="24" t="s">
        <v>178</v>
      </c>
      <c r="I11" s="24" t="s">
        <v>179</v>
      </c>
      <c r="J11" s="24" t="s">
        <v>180</v>
      </c>
    </row>
    <row r="12" spans="1:10" ht="15" customHeight="1">
      <c r="A12" s="24" t="s">
        <v>172</v>
      </c>
      <c r="B12" s="100">
        <v>139236</v>
      </c>
      <c r="C12" s="101">
        <v>22512</v>
      </c>
      <c r="D12" s="101">
        <v>65581</v>
      </c>
      <c r="E12" s="101">
        <v>4324</v>
      </c>
      <c r="F12" s="102">
        <f t="shared" ref="F12" si="1">B12+C12+D12+E12</f>
        <v>231653</v>
      </c>
      <c r="G12" s="24" t="s">
        <v>181</v>
      </c>
      <c r="I12" s="96">
        <v>13235006</v>
      </c>
      <c r="J12" s="24">
        <v>526706</v>
      </c>
    </row>
    <row r="13" spans="1:10" ht="15" customHeight="1" thickBot="1">
      <c r="A13" s="24" t="s">
        <v>173</v>
      </c>
      <c r="B13" s="103">
        <v>6412</v>
      </c>
      <c r="C13" s="104">
        <v>0</v>
      </c>
      <c r="D13" s="104">
        <v>44064</v>
      </c>
      <c r="E13" s="104">
        <v>0</v>
      </c>
      <c r="F13" s="105">
        <f>B13+C13+D13+E13</f>
        <v>50476</v>
      </c>
      <c r="G13" s="24" t="s">
        <v>182</v>
      </c>
    </row>
    <row r="14" spans="1:10" ht="15" customHeight="1" thickTop="1"/>
    <row r="15" spans="1:10" ht="15" customHeight="1"/>
    <row r="16" spans="1:10" ht="15" customHeight="1"/>
    <row r="17" ht="15" customHeight="1"/>
  </sheetData>
  <phoneticPr fontId="6"/>
  <pageMargins left="0.78700000000000003" right="0.78700000000000003" top="0.98399999999999999" bottom="0.98399999999999999" header="0.51200000000000001" footer="0.51200000000000001"/>
  <pageSetup paperSize="9" orientation="portrait"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rgb="FFFF0000"/>
  </sheetPr>
  <dimension ref="A1:J16"/>
  <sheetViews>
    <sheetView workbookViewId="0">
      <selection activeCell="L130" sqref="L130"/>
    </sheetView>
  </sheetViews>
  <sheetFormatPr defaultColWidth="9" defaultRowHeight="12"/>
  <cols>
    <col min="1" max="1" width="8" style="24" bestFit="1" customWidth="1"/>
    <col min="2" max="9" width="12.6328125" style="24" customWidth="1"/>
    <col min="10" max="25" width="9" style="24"/>
    <col min="26" max="26" width="9.90625" style="24" bestFit="1" customWidth="1"/>
    <col min="27" max="16384" width="9" style="24"/>
  </cols>
  <sheetData>
    <row r="1" spans="1:10" ht="15" customHeight="1"/>
    <row r="2" spans="1:10" ht="15" customHeight="1">
      <c r="I2" s="24" t="s">
        <v>183</v>
      </c>
    </row>
    <row r="3" spans="1:10" s="108" customFormat="1" ht="15" customHeight="1">
      <c r="A3" s="106"/>
      <c r="B3" s="107" t="s">
        <v>184</v>
      </c>
      <c r="C3" s="107" t="s">
        <v>185</v>
      </c>
      <c r="D3" s="107" t="s">
        <v>186</v>
      </c>
      <c r="E3" s="107" t="s">
        <v>187</v>
      </c>
      <c r="F3" s="107" t="s">
        <v>188</v>
      </c>
      <c r="G3" s="107" t="s">
        <v>189</v>
      </c>
      <c r="H3" s="107" t="s">
        <v>190</v>
      </c>
      <c r="I3" s="107" t="s">
        <v>34</v>
      </c>
    </row>
    <row r="4" spans="1:10" ht="15" customHeight="1">
      <c r="A4" s="26" t="s">
        <v>32</v>
      </c>
      <c r="B4" s="109">
        <f>B12</f>
        <v>45.6434</v>
      </c>
      <c r="C4" s="109">
        <f t="shared" ref="C4:G4" si="0">C12</f>
        <v>721.25440000000003</v>
      </c>
      <c r="D4" s="109">
        <f t="shared" si="0"/>
        <v>149.58089999999999</v>
      </c>
      <c r="E4" s="109">
        <f t="shared" si="0"/>
        <v>22.167400000000001</v>
      </c>
      <c r="F4" s="109">
        <f t="shared" si="0"/>
        <v>1734.8294000000001</v>
      </c>
      <c r="G4" s="109">
        <f t="shared" si="0"/>
        <v>345.44701000000003</v>
      </c>
      <c r="H4" s="110">
        <v>135</v>
      </c>
      <c r="I4" s="109">
        <f>SUM(B4:H4)</f>
        <v>3153.9225100000003</v>
      </c>
    </row>
    <row r="5" spans="1:10" ht="15" customHeight="1">
      <c r="A5" s="26" t="s">
        <v>191</v>
      </c>
      <c r="B5" s="109">
        <f>B15</f>
        <v>273.17399999999998</v>
      </c>
      <c r="C5" s="109">
        <f t="shared" ref="C5:H5" si="1">C15</f>
        <v>12415.79</v>
      </c>
      <c r="D5" s="109">
        <f t="shared" si="1"/>
        <v>583.91200000000003</v>
      </c>
      <c r="E5" s="109">
        <f t="shared" si="1"/>
        <v>113.804</v>
      </c>
      <c r="F5" s="109">
        <f t="shared" si="1"/>
        <v>4485.6170000000002</v>
      </c>
      <c r="G5" s="109">
        <f t="shared" si="1"/>
        <v>2162.34</v>
      </c>
      <c r="H5" s="109">
        <f t="shared" si="1"/>
        <v>110.277</v>
      </c>
      <c r="I5" s="109">
        <f>SUM(B5:H5)</f>
        <v>20144.913999999997</v>
      </c>
    </row>
    <row r="6" spans="1:10" ht="15" customHeight="1"/>
    <row r="7" spans="1:10" ht="15" customHeight="1">
      <c r="A7" s="26"/>
      <c r="B7" s="111">
        <f t="shared" ref="B7:I7" si="2">SUM(B4:B5)</f>
        <v>318.81739999999996</v>
      </c>
      <c r="C7" s="111">
        <f t="shared" si="2"/>
        <v>13137.044400000001</v>
      </c>
      <c r="D7" s="111">
        <f t="shared" si="2"/>
        <v>733.49289999999996</v>
      </c>
      <c r="E7" s="111">
        <f t="shared" si="2"/>
        <v>135.97140000000002</v>
      </c>
      <c r="F7" s="111">
        <f t="shared" si="2"/>
        <v>6220.4464000000007</v>
      </c>
      <c r="G7" s="111">
        <f t="shared" si="2"/>
        <v>2507.78701</v>
      </c>
      <c r="H7" s="111">
        <f t="shared" si="2"/>
        <v>245.27699999999999</v>
      </c>
      <c r="I7" s="111">
        <f t="shared" si="2"/>
        <v>23298.836509999997</v>
      </c>
    </row>
    <row r="8" spans="1:10" ht="15" customHeight="1">
      <c r="A8" s="26"/>
      <c r="B8" s="112">
        <f>B7/I7</f>
        <v>1.3683833519461869E-2</v>
      </c>
      <c r="C8" s="112">
        <f>C7/I7</f>
        <v>0.56384980401753126</v>
      </c>
      <c r="D8" s="112">
        <f>D7/I7</f>
        <v>3.1481954031703709E-2</v>
      </c>
      <c r="E8" s="112">
        <f>E7/I7</f>
        <v>5.8359738239134942E-3</v>
      </c>
      <c r="F8" s="112">
        <f>F7/I7</f>
        <v>0.26698528045939757</v>
      </c>
      <c r="G8" s="112">
        <f>G7/I7</f>
        <v>0.10763571858721971</v>
      </c>
      <c r="H8" s="112">
        <f>H7/I7</f>
        <v>1.0527435560772559E-2</v>
      </c>
      <c r="I8" s="111"/>
    </row>
    <row r="9" spans="1:10" ht="15" customHeight="1"/>
    <row r="10" spans="1:10" ht="15" customHeight="1" thickBot="1"/>
    <row r="11" spans="1:10" ht="15" customHeight="1" thickTop="1" thickBot="1">
      <c r="A11" s="24" t="s">
        <v>192</v>
      </c>
      <c r="B11" s="113">
        <v>45643.4</v>
      </c>
      <c r="C11" s="114">
        <v>721254.40000000002</v>
      </c>
      <c r="D11" s="114">
        <v>149580.9</v>
      </c>
      <c r="E11" s="114">
        <v>22167.4</v>
      </c>
      <c r="F11" s="114">
        <v>1734829.4000000001</v>
      </c>
      <c r="G11" s="114">
        <v>345447.01</v>
      </c>
      <c r="H11" s="114">
        <v>135463.29999999999</v>
      </c>
      <c r="I11" s="115">
        <v>3154385.81</v>
      </c>
      <c r="J11" s="24" t="s">
        <v>193</v>
      </c>
    </row>
    <row r="12" spans="1:10" ht="15" customHeight="1" thickTop="1">
      <c r="B12" s="25">
        <f>B11/1000</f>
        <v>45.6434</v>
      </c>
      <c r="C12" s="25">
        <f t="shared" ref="C12:I12" si="3">C11/1000</f>
        <v>721.25440000000003</v>
      </c>
      <c r="D12" s="25">
        <f t="shared" si="3"/>
        <v>149.58089999999999</v>
      </c>
      <c r="E12" s="25">
        <f t="shared" si="3"/>
        <v>22.167400000000001</v>
      </c>
      <c r="F12" s="25">
        <f t="shared" si="3"/>
        <v>1734.8294000000001</v>
      </c>
      <c r="G12" s="25">
        <f t="shared" si="3"/>
        <v>345.44701000000003</v>
      </c>
      <c r="H12" s="25">
        <f t="shared" si="3"/>
        <v>135.46329999999998</v>
      </c>
      <c r="I12" s="25">
        <f t="shared" si="3"/>
        <v>3154.3858100000002</v>
      </c>
    </row>
    <row r="13" spans="1:10" ht="15" customHeight="1" thickBot="1">
      <c r="B13" s="24">
        <f>ROUND((B11/$I$11)*100,1)</f>
        <v>1.4</v>
      </c>
      <c r="C13" s="24">
        <f t="shared" ref="C13:G13" si="4">ROUND((C11/$I$11)*100,1)</f>
        <v>22.9</v>
      </c>
      <c r="D13" s="24">
        <f t="shared" si="4"/>
        <v>4.7</v>
      </c>
      <c r="E13" s="24">
        <f t="shared" si="4"/>
        <v>0.7</v>
      </c>
      <c r="F13" s="24">
        <f t="shared" si="4"/>
        <v>55</v>
      </c>
      <c r="G13" s="24">
        <f t="shared" si="4"/>
        <v>11</v>
      </c>
      <c r="H13" s="40">
        <f>ROUND((H11/$I$11)*100,1)</f>
        <v>4.3</v>
      </c>
      <c r="I13" s="24">
        <f>SUM(B13:H13)</f>
        <v>99.999999999999986</v>
      </c>
    </row>
    <row r="14" spans="1:10" ht="15" customHeight="1" thickTop="1" thickBot="1">
      <c r="A14" s="24" t="s">
        <v>194</v>
      </c>
      <c r="B14" s="113">
        <v>273174</v>
      </c>
      <c r="C14" s="114">
        <v>12415790</v>
      </c>
      <c r="D14" s="114">
        <v>583912</v>
      </c>
      <c r="E14" s="114">
        <v>113804</v>
      </c>
      <c r="F14" s="114">
        <v>4485617</v>
      </c>
      <c r="G14" s="114">
        <v>2162340</v>
      </c>
      <c r="H14" s="114">
        <v>110277</v>
      </c>
      <c r="I14" s="115">
        <v>20144914</v>
      </c>
      <c r="J14" s="24" t="s">
        <v>195</v>
      </c>
    </row>
    <row r="15" spans="1:10" ht="15" customHeight="1" thickTop="1">
      <c r="B15" s="25">
        <f t="shared" ref="B15:I15" si="5">B14/1000</f>
        <v>273.17399999999998</v>
      </c>
      <c r="C15" s="25">
        <f t="shared" si="5"/>
        <v>12415.79</v>
      </c>
      <c r="D15" s="25">
        <f t="shared" si="5"/>
        <v>583.91200000000003</v>
      </c>
      <c r="E15" s="25">
        <f t="shared" si="5"/>
        <v>113.804</v>
      </c>
      <c r="F15" s="25">
        <f t="shared" si="5"/>
        <v>4485.6170000000002</v>
      </c>
      <c r="G15" s="25">
        <f t="shared" si="5"/>
        <v>2162.34</v>
      </c>
      <c r="H15" s="25">
        <f t="shared" si="5"/>
        <v>110.277</v>
      </c>
      <c r="I15" s="25">
        <f t="shared" si="5"/>
        <v>20144.914000000001</v>
      </c>
    </row>
    <row r="16" spans="1:10">
      <c r="B16" s="24">
        <f>ROUND((B14/$I$14)*100,1)</f>
        <v>1.4</v>
      </c>
      <c r="C16" s="24">
        <f t="shared" ref="C16:H16" si="6">ROUND((C14/$I$14)*100,1)</f>
        <v>61.6</v>
      </c>
      <c r="D16" s="24">
        <f t="shared" si="6"/>
        <v>2.9</v>
      </c>
      <c r="E16" s="24">
        <f t="shared" si="6"/>
        <v>0.6</v>
      </c>
      <c r="F16" s="24">
        <f t="shared" si="6"/>
        <v>22.3</v>
      </c>
      <c r="G16" s="24">
        <f t="shared" si="6"/>
        <v>10.7</v>
      </c>
      <c r="H16" s="24">
        <f t="shared" si="6"/>
        <v>0.5</v>
      </c>
      <c r="I16" s="24">
        <f>SUM(B16:H16)</f>
        <v>100</v>
      </c>
    </row>
  </sheetData>
  <phoneticPr fontId="6"/>
  <pageMargins left="0.78700000000000003" right="0.78700000000000003" top="0.98399999999999999" bottom="0.98399999999999999" header="0.51200000000000001" footer="0.51200000000000001"/>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47</vt:i4>
      </vt:variant>
      <vt:variant>
        <vt:lpstr>名前付き一覧</vt:lpstr>
      </vt:variant>
      <vt:variant>
        <vt:i4>75</vt:i4>
      </vt:variant>
    </vt:vector>
  </HeadingPairs>
  <TitlesOfParts>
    <vt:vector size="122" baseType="lpstr">
      <vt:lpstr>目次</vt:lpstr>
      <vt:lpstr>00</vt:lpstr>
      <vt:lpstr>01</vt:lpstr>
      <vt:lpstr>02</vt:lpstr>
      <vt:lpstr>03</vt:lpstr>
      <vt:lpstr>04</vt:lpstr>
      <vt:lpstr>05</vt:lpstr>
      <vt:lpstr>06</vt:lpstr>
      <vt:lpstr>07</vt:lpstr>
      <vt:lpstr>08</vt:lpstr>
      <vt:lpstr>09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38-1</vt:lpstr>
      <vt:lpstr>38-2</vt:lpstr>
      <vt:lpstr>38-3</vt:lpstr>
      <vt:lpstr>数・人口</vt:lpstr>
      <vt:lpstr>給水</vt:lpstr>
      <vt:lpstr>取水</vt:lpstr>
      <vt:lpstr>浄水</vt:lpstr>
      <vt:lpstr>管種</vt:lpstr>
      <vt:lpstr>'05'!Criteria</vt:lpstr>
      <vt:lpstr>'06'!Criteria</vt:lpstr>
      <vt:lpstr>'05'!Database</vt:lpstr>
      <vt:lpstr>'06'!Database</vt:lpstr>
      <vt:lpstr>'11'!Export</vt:lpstr>
      <vt:lpstr>'20'!Export</vt:lpstr>
      <vt:lpstr>'20'!Export_5</vt:lpstr>
      <vt:lpstr>'20'!Export_6</vt:lpstr>
      <vt:lpstr>'20'!Export_7</vt:lpstr>
      <vt:lpstr>'00'!Print_Area</vt:lpstr>
      <vt:lpstr>'01'!Print_Area</vt:lpstr>
      <vt:lpstr>'02'!Print_Area</vt:lpstr>
      <vt:lpstr>'03'!Print_Area</vt:lpstr>
      <vt:lpstr>'04'!Print_Area</vt:lpstr>
      <vt:lpstr>'05'!Print_Area</vt:lpstr>
      <vt:lpstr>'06'!Print_Area</vt:lpstr>
      <vt:lpstr>'07'!Print_Area</vt:lpstr>
      <vt:lpstr>'08'!Print_Area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'20'!Print_Area</vt:lpstr>
      <vt:lpstr>'21'!Print_Area</vt:lpstr>
      <vt:lpstr>'22'!Print_Area</vt:lpstr>
      <vt:lpstr>'23'!Print_Area</vt:lpstr>
      <vt:lpstr>'24'!Print_Area</vt:lpstr>
      <vt:lpstr>'25'!Print_Area</vt:lpstr>
      <vt:lpstr>'26'!Print_Area</vt:lpstr>
      <vt:lpstr>'27'!Print_Area</vt:lpstr>
      <vt:lpstr>'28'!Print_Area</vt:lpstr>
      <vt:lpstr>'31'!Print_Area</vt:lpstr>
      <vt:lpstr>'32'!Print_Area</vt:lpstr>
      <vt:lpstr>'33'!Print_Area</vt:lpstr>
      <vt:lpstr>'34'!Print_Area</vt:lpstr>
      <vt:lpstr>'35'!Print_Area</vt:lpstr>
      <vt:lpstr>'38-1'!Print_Area</vt:lpstr>
      <vt:lpstr>'38-2'!Print_Area</vt:lpstr>
      <vt:lpstr>'38-3'!Print_Area</vt:lpstr>
      <vt:lpstr>'05'!Print_Titles</vt:lpstr>
      <vt:lpstr>'06'!Print_Titles</vt:lpstr>
      <vt:lpstr>'12'!Print_Titles</vt:lpstr>
      <vt:lpstr>'13'!Print_Titles</vt:lpstr>
      <vt:lpstr>'14'!Print_Titles</vt:lpstr>
      <vt:lpstr>'15'!Print_Titles</vt:lpstr>
      <vt:lpstr>'16'!Print_Titles</vt:lpstr>
      <vt:lpstr>'17'!Print_Titles</vt:lpstr>
      <vt:lpstr>'18'!Print_Titles</vt:lpstr>
      <vt:lpstr>'19'!Print_Titles</vt:lpstr>
      <vt:lpstr>'21'!Print_Titles</vt:lpstr>
      <vt:lpstr>'22'!Print_Titles</vt:lpstr>
      <vt:lpstr>'23'!Print_Titles</vt:lpstr>
      <vt:lpstr>'24'!Print_Titles</vt:lpstr>
      <vt:lpstr>'35'!Print_Titles</vt:lpstr>
      <vt:lpstr>'38-2'!Print_Titles</vt:lpstr>
      <vt:lpstr>'38-3'!Print_Titles</vt:lpstr>
      <vt:lpstr>'05'!ﾀｲﾄﾙ行</vt:lpstr>
      <vt:lpstr>'06'!ﾀｲﾄﾙ行</vt:lpstr>
      <vt:lpstr>'26'!ﾀｲﾄﾙ行</vt:lpstr>
      <vt:lpstr>'03'!印刷範囲</vt:lpstr>
      <vt:lpstr>'04'!印刷範囲</vt:lpstr>
      <vt:lpstr>'05'!印刷範囲</vt:lpstr>
      <vt:lpstr>'06'!印刷範囲</vt:lpstr>
      <vt:lpstr>'07'!印刷範囲</vt:lpstr>
      <vt:lpstr>'26'!印刷範囲</vt:lpstr>
      <vt:lpstr>'28'!印刷範囲</vt:lpstr>
      <vt:lpstr>'29'!印刷範囲</vt:lpstr>
      <vt:lpstr>'05'!並び替え</vt:lpstr>
      <vt:lpstr>'06'!並び替え</vt:lpstr>
    </vt:vector>
  </TitlesOfParts>
  <Company>長野県庁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管理者</dc:creator>
  <cp:lastModifiedBy>中村　一平</cp:lastModifiedBy>
  <cp:lastPrinted>2020-05-25T05:51:41Z</cp:lastPrinted>
  <dcterms:created xsi:type="dcterms:W3CDTF">2008-02-20T06:44:09Z</dcterms:created>
  <dcterms:modified xsi:type="dcterms:W3CDTF">2022-07-20T02:09:14Z</dcterms:modified>
</cp:coreProperties>
</file>