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85" yWindow="-15" windowWidth="12630" windowHeight="11640"/>
  </bookViews>
  <sheets>
    <sheet name="P-25_印刷用" sheetId="4" r:id="rId1"/>
  </sheets>
  <definedNames>
    <definedName name="_xlnm.Print_Area" localSheetId="0">'P-25_印刷用'!$B$1:$U$88</definedName>
    <definedName name="_xlnm.Print_Titles" localSheetId="0">'P-25_印刷用'!$1:$6</definedName>
  </definedNames>
  <calcPr calcId="145621"/>
</workbook>
</file>

<file path=xl/calcChain.xml><?xml version="1.0" encoding="utf-8"?>
<calcChain xmlns="http://schemas.openxmlformats.org/spreadsheetml/2006/main">
  <c r="S83" i="4" l="1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84" i="4" l="1"/>
  <c r="M79" i="4"/>
  <c r="O79" i="4"/>
  <c r="K79" i="4"/>
  <c r="O82" i="4" l="1"/>
  <c r="K82" i="4"/>
  <c r="M82" i="4"/>
  <c r="I80" i="4"/>
  <c r="E80" i="4"/>
  <c r="G80" i="4"/>
  <c r="G77" i="4"/>
  <c r="E77" i="4"/>
  <c r="I77" i="4"/>
  <c r="O69" i="4" l="1"/>
  <c r="K69" i="4"/>
  <c r="M69" i="4"/>
  <c r="O64" i="4" l="1"/>
  <c r="K64" i="4"/>
  <c r="I64" i="4"/>
  <c r="E64" i="4"/>
  <c r="M64" i="4"/>
  <c r="G64" i="4"/>
  <c r="O62" i="4" l="1"/>
  <c r="K62" i="4"/>
  <c r="M62" i="4"/>
  <c r="O51" i="4"/>
  <c r="K51" i="4"/>
  <c r="M51" i="4"/>
  <c r="O48" i="4"/>
  <c r="K48" i="4"/>
  <c r="M48" i="4"/>
  <c r="O44" i="4"/>
  <c r="K44" i="4"/>
  <c r="M44" i="4"/>
  <c r="I41" i="4"/>
  <c r="E41" i="4"/>
  <c r="G41" i="4"/>
  <c r="I40" i="4"/>
  <c r="E40" i="4"/>
  <c r="G40" i="4"/>
  <c r="I33" i="4" l="1"/>
  <c r="E33" i="4"/>
  <c r="G33" i="4"/>
  <c r="I25" i="4" l="1"/>
  <c r="E25" i="4"/>
  <c r="G25" i="4"/>
  <c r="I24" i="4"/>
  <c r="E24" i="4"/>
  <c r="G24" i="4"/>
  <c r="O22" i="4"/>
  <c r="K22" i="4"/>
  <c r="I22" i="4"/>
  <c r="E22" i="4"/>
  <c r="M22" i="4"/>
  <c r="G22" i="4"/>
  <c r="O21" i="4"/>
  <c r="K21" i="4"/>
  <c r="I21" i="4"/>
  <c r="E21" i="4"/>
  <c r="M21" i="4"/>
  <c r="G21" i="4"/>
  <c r="I20" i="4"/>
  <c r="E20" i="4"/>
  <c r="G20" i="4"/>
  <c r="I19" i="4"/>
  <c r="E19" i="4"/>
  <c r="G19" i="4"/>
  <c r="O18" i="4"/>
  <c r="K18" i="4"/>
  <c r="I18" i="4"/>
  <c r="E18" i="4"/>
  <c r="M18" i="4"/>
  <c r="G18" i="4"/>
  <c r="I17" i="4"/>
  <c r="E17" i="4"/>
  <c r="G17" i="4"/>
  <c r="O15" i="4"/>
  <c r="K15" i="4"/>
  <c r="I15" i="4"/>
  <c r="E15" i="4"/>
  <c r="M15" i="4"/>
  <c r="G15" i="4"/>
  <c r="I14" i="4"/>
  <c r="E14" i="4"/>
  <c r="G14" i="4"/>
  <c r="I13" i="4"/>
  <c r="E13" i="4"/>
  <c r="G13" i="4"/>
  <c r="I12" i="4"/>
  <c r="E12" i="4"/>
  <c r="G12" i="4"/>
  <c r="O11" i="4"/>
  <c r="K11" i="4"/>
  <c r="I11" i="4"/>
  <c r="E11" i="4"/>
  <c r="M11" i="4"/>
  <c r="G11" i="4"/>
  <c r="I9" i="4"/>
  <c r="E9" i="4"/>
  <c r="G9" i="4"/>
  <c r="O8" i="4"/>
  <c r="K8" i="4"/>
  <c r="I8" i="4"/>
  <c r="E8" i="4"/>
  <c r="M8" i="4"/>
  <c r="G8" i="4"/>
  <c r="O7" i="4"/>
  <c r="K7" i="4"/>
  <c r="I7" i="4"/>
  <c r="E7" i="4"/>
  <c r="M7" i="4"/>
  <c r="G7" i="4"/>
  <c r="R84" i="4" l="1"/>
  <c r="V79" i="4" l="1"/>
  <c r="V75" i="4"/>
  <c r="V68" i="4"/>
  <c r="V45" i="4" l="1"/>
  <c r="F7" i="4" l="1"/>
  <c r="H7" i="4"/>
  <c r="J7" i="4"/>
  <c r="L7" i="4"/>
  <c r="N7" i="4"/>
  <c r="P7" i="4"/>
  <c r="S7" i="4"/>
  <c r="F8" i="4"/>
  <c r="H8" i="4"/>
  <c r="J8" i="4"/>
  <c r="L8" i="4"/>
  <c r="N8" i="4"/>
  <c r="P8" i="4"/>
  <c r="F9" i="4"/>
  <c r="H9" i="4"/>
  <c r="J9" i="4"/>
  <c r="L9" i="4"/>
  <c r="N9" i="4"/>
  <c r="P9" i="4"/>
  <c r="F10" i="4"/>
  <c r="H10" i="4"/>
  <c r="J10" i="4"/>
  <c r="F11" i="4"/>
  <c r="H11" i="4"/>
  <c r="J11" i="4"/>
  <c r="L11" i="4"/>
  <c r="N11" i="4"/>
  <c r="P11" i="4"/>
  <c r="F12" i="4"/>
  <c r="H12" i="4"/>
  <c r="J12" i="4"/>
  <c r="F13" i="4"/>
  <c r="H13" i="4"/>
  <c r="J13" i="4"/>
  <c r="L13" i="4"/>
  <c r="N13" i="4"/>
  <c r="P13" i="4"/>
  <c r="F14" i="4"/>
  <c r="H14" i="4"/>
  <c r="J14" i="4"/>
  <c r="L14" i="4"/>
  <c r="N14" i="4"/>
  <c r="P14" i="4"/>
  <c r="F15" i="4"/>
  <c r="H15" i="4"/>
  <c r="J15" i="4"/>
  <c r="L15" i="4"/>
  <c r="N15" i="4"/>
  <c r="P15" i="4"/>
  <c r="F16" i="4"/>
  <c r="H16" i="4"/>
  <c r="J16" i="4"/>
  <c r="L16" i="4"/>
  <c r="N16" i="4"/>
  <c r="P16" i="4"/>
  <c r="F17" i="4"/>
  <c r="H17" i="4"/>
  <c r="J17" i="4"/>
  <c r="L17" i="4"/>
  <c r="N17" i="4"/>
  <c r="P17" i="4"/>
  <c r="F18" i="4"/>
  <c r="H18" i="4"/>
  <c r="J18" i="4"/>
  <c r="L18" i="4"/>
  <c r="N18" i="4"/>
  <c r="P18" i="4"/>
  <c r="F19" i="4"/>
  <c r="H19" i="4"/>
  <c r="J19" i="4"/>
  <c r="L19" i="4"/>
  <c r="N19" i="4"/>
  <c r="P19" i="4"/>
  <c r="F20" i="4"/>
  <c r="H20" i="4"/>
  <c r="J20" i="4"/>
  <c r="F21" i="4"/>
  <c r="H21" i="4"/>
  <c r="J21" i="4"/>
  <c r="L21" i="4"/>
  <c r="N21" i="4"/>
  <c r="P21" i="4"/>
  <c r="F22" i="4"/>
  <c r="H22" i="4"/>
  <c r="J22" i="4"/>
  <c r="L22" i="4"/>
  <c r="N22" i="4"/>
  <c r="P22" i="4"/>
  <c r="F23" i="4"/>
  <c r="H23" i="4"/>
  <c r="J23" i="4"/>
  <c r="L23" i="4"/>
  <c r="N23" i="4"/>
  <c r="P23" i="4"/>
  <c r="F24" i="4"/>
  <c r="H24" i="4"/>
  <c r="J24" i="4"/>
  <c r="L24" i="4"/>
  <c r="N24" i="4"/>
  <c r="P24" i="4"/>
  <c r="F25" i="4"/>
  <c r="H25" i="4"/>
  <c r="J25" i="4"/>
  <c r="L25" i="4"/>
  <c r="N25" i="4"/>
  <c r="P25" i="4"/>
  <c r="F26" i="4"/>
  <c r="H26" i="4"/>
  <c r="J26" i="4"/>
  <c r="L26" i="4"/>
  <c r="N26" i="4"/>
  <c r="P26" i="4"/>
  <c r="F27" i="4"/>
  <c r="H27" i="4"/>
  <c r="J27" i="4"/>
  <c r="L27" i="4"/>
  <c r="N27" i="4"/>
  <c r="P27" i="4"/>
  <c r="V27" i="4"/>
  <c r="F28" i="4"/>
  <c r="H28" i="4"/>
  <c r="J28" i="4"/>
  <c r="L28" i="4"/>
  <c r="N28" i="4"/>
  <c r="P28" i="4"/>
  <c r="V28" i="4"/>
  <c r="V30" i="4"/>
  <c r="F31" i="4"/>
  <c r="H31" i="4"/>
  <c r="J31" i="4"/>
  <c r="L31" i="4"/>
  <c r="N31" i="4"/>
  <c r="P31" i="4"/>
  <c r="V31" i="4"/>
  <c r="F32" i="4"/>
  <c r="H32" i="4"/>
  <c r="J32" i="4"/>
  <c r="L32" i="4"/>
  <c r="N32" i="4"/>
  <c r="P32" i="4"/>
  <c r="V32" i="4"/>
  <c r="T32" i="4"/>
  <c r="U32" i="4" s="1"/>
  <c r="F33" i="4"/>
  <c r="H33" i="4"/>
  <c r="J33" i="4"/>
  <c r="L33" i="4"/>
  <c r="N33" i="4"/>
  <c r="P33" i="4"/>
  <c r="F34" i="4"/>
  <c r="H34" i="4"/>
  <c r="J34" i="4"/>
  <c r="L34" i="4"/>
  <c r="N34" i="4"/>
  <c r="P34" i="4"/>
  <c r="F35" i="4"/>
  <c r="H35" i="4"/>
  <c r="J35" i="4"/>
  <c r="F36" i="4"/>
  <c r="H36" i="4"/>
  <c r="J36" i="4"/>
  <c r="L36" i="4"/>
  <c r="N36" i="4"/>
  <c r="P36" i="4"/>
  <c r="F37" i="4"/>
  <c r="H37" i="4"/>
  <c r="J37" i="4"/>
  <c r="F38" i="4"/>
  <c r="H38" i="4"/>
  <c r="J38" i="4"/>
  <c r="L38" i="4"/>
  <c r="N38" i="4"/>
  <c r="P38" i="4"/>
  <c r="F39" i="4"/>
  <c r="H39" i="4"/>
  <c r="J39" i="4"/>
  <c r="F40" i="4"/>
  <c r="H40" i="4"/>
  <c r="J40" i="4"/>
  <c r="L40" i="4"/>
  <c r="N40" i="4"/>
  <c r="P40" i="4"/>
  <c r="F41" i="4"/>
  <c r="H41" i="4"/>
  <c r="J41" i="4"/>
  <c r="L41" i="4"/>
  <c r="N41" i="4"/>
  <c r="P41" i="4"/>
  <c r="F42" i="4"/>
  <c r="H42" i="4"/>
  <c r="J42" i="4"/>
  <c r="L42" i="4"/>
  <c r="N42" i="4"/>
  <c r="P42" i="4"/>
  <c r="F43" i="4"/>
  <c r="H43" i="4"/>
  <c r="J43" i="4"/>
  <c r="F44" i="4"/>
  <c r="H44" i="4"/>
  <c r="J44" i="4"/>
  <c r="L44" i="4"/>
  <c r="N44" i="4"/>
  <c r="P44" i="4"/>
  <c r="F45" i="4"/>
  <c r="H45" i="4"/>
  <c r="J45" i="4"/>
  <c r="L45" i="4"/>
  <c r="N45" i="4"/>
  <c r="P45" i="4"/>
  <c r="T45" i="4"/>
  <c r="U45" i="4" s="1"/>
  <c r="F46" i="4"/>
  <c r="H46" i="4"/>
  <c r="J46" i="4"/>
  <c r="L46" i="4"/>
  <c r="N46" i="4"/>
  <c r="P46" i="4"/>
  <c r="F47" i="4"/>
  <c r="H47" i="4"/>
  <c r="J47" i="4"/>
  <c r="L47" i="4"/>
  <c r="N47" i="4"/>
  <c r="P47" i="4"/>
  <c r="L48" i="4"/>
  <c r="N48" i="4"/>
  <c r="P48" i="4"/>
  <c r="F49" i="4"/>
  <c r="H49" i="4"/>
  <c r="J49" i="4"/>
  <c r="L49" i="4"/>
  <c r="N49" i="4"/>
  <c r="P49" i="4"/>
  <c r="L50" i="4"/>
  <c r="N50" i="4"/>
  <c r="P50" i="4"/>
  <c r="L51" i="4"/>
  <c r="N51" i="4"/>
  <c r="P51" i="4"/>
  <c r="L53" i="4"/>
  <c r="N53" i="4"/>
  <c r="P53" i="4"/>
  <c r="F54" i="4"/>
  <c r="H54" i="4"/>
  <c r="J54" i="4"/>
  <c r="F56" i="4"/>
  <c r="H56" i="4"/>
  <c r="J56" i="4"/>
  <c r="L56" i="4"/>
  <c r="N56" i="4"/>
  <c r="P56" i="4"/>
  <c r="F57" i="4"/>
  <c r="H57" i="4"/>
  <c r="J57" i="4"/>
  <c r="L57" i="4"/>
  <c r="N57" i="4"/>
  <c r="P57" i="4"/>
  <c r="F59" i="4"/>
  <c r="H59" i="4"/>
  <c r="J59" i="4"/>
  <c r="V59" i="4"/>
  <c r="F60" i="4"/>
  <c r="H60" i="4"/>
  <c r="J60" i="4"/>
  <c r="L60" i="4"/>
  <c r="N60" i="4"/>
  <c r="P60" i="4"/>
  <c r="V60" i="4"/>
  <c r="F61" i="4"/>
  <c r="H61" i="4"/>
  <c r="J61" i="4"/>
  <c r="L61" i="4"/>
  <c r="N61" i="4"/>
  <c r="P61" i="4"/>
  <c r="V61" i="4"/>
  <c r="L62" i="4"/>
  <c r="N62" i="4"/>
  <c r="P62" i="4"/>
  <c r="F63" i="4"/>
  <c r="H63" i="4"/>
  <c r="J63" i="4"/>
  <c r="L63" i="4"/>
  <c r="N63" i="4"/>
  <c r="P63" i="4"/>
  <c r="F64" i="4"/>
  <c r="H64" i="4"/>
  <c r="J64" i="4"/>
  <c r="L64" i="4"/>
  <c r="N64" i="4"/>
  <c r="P64" i="4"/>
  <c r="F65" i="4"/>
  <c r="H65" i="4"/>
  <c r="J65" i="4"/>
  <c r="L65" i="4"/>
  <c r="N65" i="4"/>
  <c r="P65" i="4"/>
  <c r="L66" i="4"/>
  <c r="N66" i="4"/>
  <c r="P66" i="4"/>
  <c r="F67" i="4"/>
  <c r="H67" i="4"/>
  <c r="J67" i="4"/>
  <c r="F68" i="4"/>
  <c r="H68" i="4"/>
  <c r="J68" i="4"/>
  <c r="T68" i="4"/>
  <c r="U68" i="4" s="1"/>
  <c r="L69" i="4"/>
  <c r="N69" i="4"/>
  <c r="P69" i="4"/>
  <c r="F70" i="4"/>
  <c r="H70" i="4"/>
  <c r="J70" i="4"/>
  <c r="F71" i="4"/>
  <c r="H71" i="4"/>
  <c r="J71" i="4"/>
  <c r="F72" i="4"/>
  <c r="H72" i="4"/>
  <c r="J72" i="4"/>
  <c r="L72" i="4"/>
  <c r="N72" i="4"/>
  <c r="P72" i="4"/>
  <c r="F73" i="4"/>
  <c r="H73" i="4"/>
  <c r="J73" i="4"/>
  <c r="L73" i="4"/>
  <c r="N73" i="4"/>
  <c r="P73" i="4"/>
  <c r="F74" i="4"/>
  <c r="H74" i="4"/>
  <c r="J74" i="4"/>
  <c r="F75" i="4"/>
  <c r="H75" i="4"/>
  <c r="J75" i="4"/>
  <c r="L75" i="4"/>
  <c r="N75" i="4"/>
  <c r="P75" i="4"/>
  <c r="T75" i="4"/>
  <c r="U75" i="4" s="1"/>
  <c r="F76" i="4"/>
  <c r="H76" i="4"/>
  <c r="J76" i="4"/>
  <c r="L76" i="4"/>
  <c r="N76" i="4"/>
  <c r="P76" i="4"/>
  <c r="F77" i="4"/>
  <c r="H77" i="4"/>
  <c r="J77" i="4"/>
  <c r="L77" i="4"/>
  <c r="N77" i="4"/>
  <c r="P77" i="4"/>
  <c r="V77" i="4"/>
  <c r="F78" i="4"/>
  <c r="H78" i="4"/>
  <c r="J78" i="4"/>
  <c r="L78" i="4"/>
  <c r="N78" i="4"/>
  <c r="P78" i="4"/>
  <c r="V78" i="4"/>
  <c r="F79" i="4"/>
  <c r="H79" i="4"/>
  <c r="J79" i="4"/>
  <c r="L79" i="4"/>
  <c r="N79" i="4"/>
  <c r="P79" i="4"/>
  <c r="T79" i="4"/>
  <c r="U79" i="4" s="1"/>
  <c r="F80" i="4"/>
  <c r="H80" i="4"/>
  <c r="J80" i="4"/>
  <c r="L80" i="4"/>
  <c r="N80" i="4"/>
  <c r="P80" i="4"/>
  <c r="F81" i="4"/>
  <c r="H81" i="4"/>
  <c r="J81" i="4"/>
  <c r="F82" i="4"/>
  <c r="H82" i="4"/>
  <c r="J82" i="4"/>
  <c r="L82" i="4"/>
  <c r="N82" i="4"/>
  <c r="P82" i="4"/>
  <c r="L83" i="4"/>
  <c r="N83" i="4"/>
  <c r="P83" i="4"/>
  <c r="D84" i="4"/>
  <c r="E84" i="4"/>
  <c r="G84" i="4"/>
  <c r="I84" i="4"/>
  <c r="K84" i="4"/>
  <c r="M84" i="4"/>
  <c r="O84" i="4"/>
  <c r="Q84" i="4"/>
  <c r="T31" i="4" l="1"/>
  <c r="U31" i="4" s="1"/>
  <c r="T30" i="4"/>
  <c r="U30" i="4" s="1"/>
  <c r="T61" i="4"/>
  <c r="U61" i="4" s="1"/>
  <c r="T60" i="4"/>
  <c r="U60" i="4" s="1"/>
  <c r="T59" i="4"/>
  <c r="U59" i="4" s="1"/>
  <c r="T83" i="4"/>
  <c r="U83" i="4" s="1"/>
  <c r="V83" i="4"/>
  <c r="T78" i="4"/>
  <c r="U78" i="4" s="1"/>
  <c r="T77" i="4"/>
  <c r="U77" i="4" s="1"/>
  <c r="T76" i="4"/>
  <c r="U76" i="4" s="1"/>
  <c r="V76" i="4"/>
  <c r="T71" i="4"/>
  <c r="U71" i="4" s="1"/>
  <c r="V71" i="4"/>
  <c r="T82" i="4"/>
  <c r="U82" i="4" s="1"/>
  <c r="V82" i="4"/>
  <c r="T72" i="4"/>
  <c r="U72" i="4" s="1"/>
  <c r="V72" i="4"/>
  <c r="T81" i="4"/>
  <c r="U81" i="4" s="1"/>
  <c r="V81" i="4"/>
  <c r="T80" i="4"/>
  <c r="U80" i="4" s="1"/>
  <c r="V80" i="4"/>
  <c r="T74" i="4"/>
  <c r="U74" i="4" s="1"/>
  <c r="V74" i="4"/>
  <c r="T73" i="4"/>
  <c r="U73" i="4" s="1"/>
  <c r="V73" i="4"/>
  <c r="T57" i="4"/>
  <c r="U57" i="4" s="1"/>
  <c r="V57" i="4"/>
  <c r="T62" i="4"/>
  <c r="U62" i="4" s="1"/>
  <c r="V62" i="4"/>
  <c r="T55" i="4"/>
  <c r="U55" i="4" s="1"/>
  <c r="V55" i="4"/>
  <c r="T46" i="4"/>
  <c r="U46" i="4" s="1"/>
  <c r="V46" i="4"/>
  <c r="T41" i="4"/>
  <c r="U41" i="4" s="1"/>
  <c r="V41" i="4"/>
  <c r="T35" i="4"/>
  <c r="U35" i="4" s="1"/>
  <c r="V35" i="4"/>
  <c r="T34" i="4"/>
  <c r="U34" i="4" s="1"/>
  <c r="V34" i="4"/>
  <c r="T29" i="4"/>
  <c r="U29" i="4" s="1"/>
  <c r="V29" i="4"/>
  <c r="T25" i="4"/>
  <c r="U25" i="4" s="1"/>
  <c r="V25" i="4"/>
  <c r="T21" i="4"/>
  <c r="U21" i="4" s="1"/>
  <c r="V21" i="4"/>
  <c r="T16" i="4"/>
  <c r="U16" i="4" s="1"/>
  <c r="V16" i="4"/>
  <c r="T12" i="4"/>
  <c r="U12" i="4" s="1"/>
  <c r="V12" i="4"/>
  <c r="T11" i="4"/>
  <c r="U11" i="4" s="1"/>
  <c r="V11" i="4"/>
  <c r="T63" i="4"/>
  <c r="U63" i="4" s="1"/>
  <c r="V63" i="4"/>
  <c r="T58" i="4"/>
  <c r="U58" i="4" s="1"/>
  <c r="V58" i="4"/>
  <c r="T56" i="4"/>
  <c r="U56" i="4" s="1"/>
  <c r="V56" i="4"/>
  <c r="T54" i="4"/>
  <c r="U54" i="4" s="1"/>
  <c r="V54" i="4"/>
  <c r="T53" i="4"/>
  <c r="U53" i="4" s="1"/>
  <c r="V53" i="4"/>
  <c r="T52" i="4"/>
  <c r="U52" i="4" s="1"/>
  <c r="V52" i="4"/>
  <c r="T48" i="4"/>
  <c r="U48" i="4" s="1"/>
  <c r="V48" i="4"/>
  <c r="T47" i="4"/>
  <c r="U47" i="4" s="1"/>
  <c r="V47" i="4"/>
  <c r="T43" i="4"/>
  <c r="U43" i="4" s="1"/>
  <c r="V43" i="4"/>
  <c r="T42" i="4"/>
  <c r="U42" i="4" s="1"/>
  <c r="V42" i="4"/>
  <c r="T37" i="4"/>
  <c r="U37" i="4" s="1"/>
  <c r="V37" i="4"/>
  <c r="T36" i="4"/>
  <c r="U36" i="4" s="1"/>
  <c r="V36" i="4"/>
  <c r="T28" i="4"/>
  <c r="U28" i="4" s="1"/>
  <c r="T27" i="4"/>
  <c r="U27" i="4" s="1"/>
  <c r="T26" i="4"/>
  <c r="U26" i="4" s="1"/>
  <c r="V26" i="4"/>
  <c r="T22" i="4"/>
  <c r="U22" i="4" s="1"/>
  <c r="V22" i="4"/>
  <c r="T17" i="4"/>
  <c r="U17" i="4" s="1"/>
  <c r="V17" i="4"/>
  <c r="T13" i="4"/>
  <c r="U13" i="4" s="1"/>
  <c r="V13" i="4"/>
  <c r="T7" i="4"/>
  <c r="U7" i="4" s="1"/>
  <c r="V7" i="4"/>
  <c r="T64" i="4"/>
  <c r="U64" i="4" s="1"/>
  <c r="V64" i="4"/>
  <c r="T51" i="4"/>
  <c r="U51" i="4" s="1"/>
  <c r="V51" i="4"/>
  <c r="T50" i="4"/>
  <c r="U50" i="4" s="1"/>
  <c r="V50" i="4"/>
  <c r="T49" i="4"/>
  <c r="U49" i="4" s="1"/>
  <c r="V49" i="4"/>
  <c r="T44" i="4"/>
  <c r="U44" i="4" s="1"/>
  <c r="V44" i="4"/>
  <c r="T39" i="4"/>
  <c r="U39" i="4" s="1"/>
  <c r="V39" i="4"/>
  <c r="T38" i="4"/>
  <c r="U38" i="4" s="1"/>
  <c r="V38" i="4"/>
  <c r="T23" i="4"/>
  <c r="U23" i="4" s="1"/>
  <c r="V23" i="4"/>
  <c r="T18" i="4"/>
  <c r="U18" i="4" s="1"/>
  <c r="V18" i="4"/>
  <c r="T14" i="4"/>
  <c r="U14" i="4" s="1"/>
  <c r="V14" i="4"/>
  <c r="T8" i="4"/>
  <c r="U8" i="4" s="1"/>
  <c r="V8" i="4"/>
  <c r="T70" i="4"/>
  <c r="U70" i="4" s="1"/>
  <c r="V70" i="4"/>
  <c r="T69" i="4"/>
  <c r="U69" i="4" s="1"/>
  <c r="V69" i="4"/>
  <c r="T67" i="4"/>
  <c r="U67" i="4" s="1"/>
  <c r="V67" i="4"/>
  <c r="T66" i="4"/>
  <c r="U66" i="4" s="1"/>
  <c r="V66" i="4"/>
  <c r="T65" i="4"/>
  <c r="U65" i="4" s="1"/>
  <c r="V65" i="4"/>
  <c r="T40" i="4"/>
  <c r="U40" i="4" s="1"/>
  <c r="V40" i="4"/>
  <c r="T33" i="4"/>
  <c r="U33" i="4" s="1"/>
  <c r="V33" i="4"/>
  <c r="T24" i="4"/>
  <c r="U24" i="4" s="1"/>
  <c r="V24" i="4"/>
  <c r="T20" i="4"/>
  <c r="U20" i="4" s="1"/>
  <c r="V20" i="4"/>
  <c r="T19" i="4"/>
  <c r="U19" i="4" s="1"/>
  <c r="V19" i="4"/>
  <c r="T15" i="4"/>
  <c r="U15" i="4" s="1"/>
  <c r="V15" i="4"/>
  <c r="T10" i="4"/>
  <c r="U10" i="4" s="1"/>
  <c r="V10" i="4"/>
  <c r="T9" i="4"/>
  <c r="U9" i="4" s="1"/>
  <c r="V9" i="4"/>
  <c r="P84" i="4"/>
  <c r="F84" i="4"/>
  <c r="L84" i="4"/>
  <c r="N84" i="4"/>
  <c r="H84" i="4"/>
  <c r="V84" i="4"/>
  <c r="J84" i="4"/>
  <c r="T84" i="4" l="1"/>
  <c r="U84" i="4" s="1"/>
</calcChain>
</file>

<file path=xl/sharedStrings.xml><?xml version="1.0" encoding="utf-8"?>
<sst xmlns="http://schemas.openxmlformats.org/spreadsheetml/2006/main" count="130" uniqueCount="121">
  <si>
    <t>人　　　　　　　　　　　口　　</t>
    <rPh sb="0" eb="1">
      <t>ヒト</t>
    </rPh>
    <rPh sb="12" eb="13">
      <t>クチ</t>
    </rPh>
    <phoneticPr fontId="3"/>
  </si>
  <si>
    <t>農業集落排水施設等</t>
    <rPh sb="0" eb="2">
      <t>ノウギョウ</t>
    </rPh>
    <rPh sb="2" eb="4">
      <t>シュウラク</t>
    </rPh>
    <rPh sb="4" eb="6">
      <t>ハイスイ</t>
    </rPh>
    <rPh sb="6" eb="8">
      <t>シセツ</t>
    </rPh>
    <rPh sb="8" eb="9">
      <t>トウ</t>
    </rPh>
    <phoneticPr fontId="3"/>
  </si>
  <si>
    <t>水洗化</t>
    <rPh sb="0" eb="3">
      <t>スイセンカ</t>
    </rPh>
    <phoneticPr fontId="3"/>
  </si>
  <si>
    <t>水洗化率</t>
    <rPh sb="0" eb="3">
      <t>スイセンカ</t>
    </rPh>
    <rPh sb="3" eb="4">
      <t>リツ</t>
    </rPh>
    <phoneticPr fontId="2"/>
  </si>
  <si>
    <t>市町村名</t>
    <rPh sb="0" eb="3">
      <t>シチョウソン</t>
    </rPh>
    <rPh sb="3" eb="4">
      <t>メイ</t>
    </rPh>
    <phoneticPr fontId="3"/>
  </si>
  <si>
    <t>行政人口</t>
    <rPh sb="0" eb="2">
      <t>ギョウセイ</t>
    </rPh>
    <rPh sb="2" eb="4">
      <t>ジンコウ</t>
    </rPh>
    <phoneticPr fontId="3"/>
  </si>
  <si>
    <t>計画区域内</t>
    <rPh sb="0" eb="2">
      <t>ケイカク</t>
    </rPh>
    <rPh sb="2" eb="4">
      <t>クイキ</t>
    </rPh>
    <rPh sb="4" eb="5">
      <t>ナイ</t>
    </rPh>
    <phoneticPr fontId="3"/>
  </si>
  <si>
    <t>供用区域内</t>
    <rPh sb="0" eb="2">
      <t>キョウヨウ</t>
    </rPh>
    <rPh sb="2" eb="5">
      <t>クイキナイ</t>
    </rPh>
    <phoneticPr fontId="3"/>
  </si>
  <si>
    <t>浄化槽設置</t>
    <rPh sb="0" eb="3">
      <t>ジョウカソウ</t>
    </rPh>
    <rPh sb="3" eb="5">
      <t>セッチ</t>
    </rPh>
    <phoneticPr fontId="3"/>
  </si>
  <si>
    <t>ｺﾐﾌﾟﾗ処理</t>
    <rPh sb="5" eb="7">
      <t>ショリ</t>
    </rPh>
    <phoneticPr fontId="3"/>
  </si>
  <si>
    <t>合計</t>
    <rPh sb="0" eb="2">
      <t>ゴウケイ</t>
    </rPh>
    <phoneticPr fontId="3"/>
  </si>
  <si>
    <t>人口</t>
    <rPh sb="0" eb="2">
      <t>ジンコウ</t>
    </rPh>
    <phoneticPr fontId="3"/>
  </si>
  <si>
    <t>割合</t>
    <rPh sb="0" eb="2">
      <t>ワリアイ</t>
    </rPh>
    <phoneticPr fontId="2"/>
  </si>
  <si>
    <t>済み</t>
    <rPh sb="0" eb="1">
      <t>ズ</t>
    </rPh>
    <phoneticPr fontId="3"/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</si>
  <si>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</si>
  <si>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</si>
  <si>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</si>
  <si>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</si>
  <si>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</si>
  <si>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</si>
  <si>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</si>
  <si>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</si>
  <si>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</si>
  <si>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</si>
  <si>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</si>
  <si>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</si>
  <si>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</si>
  <si>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</si>
  <si>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</si>
  <si>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</si>
  <si>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</si>
  <si>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</si>
  <si>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</si>
  <si>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</si>
  <si>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</si>
  <si>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</si>
  <si>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</si>
  <si>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</si>
  <si>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</si>
  <si>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</si>
  <si>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</si>
  <si>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</si>
  <si>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</si>
  <si>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</si>
  <si>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</si>
  <si>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</si>
  <si>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</si>
  <si>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</si>
  <si>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</si>
  <si>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</si>
  <si>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</si>
  <si>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</si>
  <si>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</si>
  <si>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</si>
  <si>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</si>
  <si>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</si>
  <si>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</si>
  <si>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</si>
  <si>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</si>
  <si>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</si>
  <si>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</si>
  <si>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</si>
  <si>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</si>
  <si>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</si>
  <si>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</si>
  <si>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</si>
  <si>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</si>
  <si>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</si>
  <si>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</si>
  <si>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麻績村</t>
  </si>
  <si>
    <t>生坂村</t>
  </si>
  <si>
    <t>山形村</t>
  </si>
  <si>
    <t>朝日村</t>
  </si>
  <si>
    <t>池田町</t>
  </si>
  <si>
    <t>松川村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</si>
  <si>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</si>
  <si>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</si>
  <si>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</si>
  <si>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</si>
  <si>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</si>
  <si>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</si>
  <si>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</si>
  <si>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</si>
  <si>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</si>
  <si>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栄村</t>
  </si>
  <si>
    <t>公　共　下　水　道</t>
    <rPh sb="0" eb="1">
      <t>オオヤケ</t>
    </rPh>
    <rPh sb="2" eb="3">
      <t>トモ</t>
    </rPh>
    <rPh sb="4" eb="5">
      <t>シタ</t>
    </rPh>
    <rPh sb="6" eb="7">
      <t>ミズ</t>
    </rPh>
    <rPh sb="8" eb="9">
      <t>ミチ</t>
    </rPh>
    <phoneticPr fontId="3"/>
  </si>
  <si>
    <t>浄化槽・ｺﾐﾌﾟﾗ</t>
    <rPh sb="0" eb="3">
      <t>ジョウカソウ</t>
    </rPh>
    <phoneticPr fontId="3"/>
  </si>
  <si>
    <t>安曇野市</t>
    <rPh sb="0" eb="3">
      <t>アズミノ</t>
    </rPh>
    <rPh sb="3" eb="4">
      <t>シ</t>
    </rPh>
    <phoneticPr fontId="2"/>
  </si>
  <si>
    <t>長和町</t>
    <rPh sb="1" eb="2">
      <t>ワ</t>
    </rPh>
    <phoneticPr fontId="2"/>
  </si>
  <si>
    <t>筑北村</t>
    <rPh sb="0" eb="2">
      <t>チクホク</t>
    </rPh>
    <phoneticPr fontId="2"/>
  </si>
  <si>
    <t>飯綱町</t>
    <rPh sb="0" eb="3">
      <t>イイヅナマチ</t>
    </rPh>
    <phoneticPr fontId="2"/>
  </si>
  <si>
    <t>(ｹ+ｺ)</t>
    <phoneticPr fontId="3"/>
  </si>
  <si>
    <t>(ｵ+ｸ+ｻ)</t>
    <phoneticPr fontId="3"/>
  </si>
  <si>
    <t>ｼ/ｲ*100</t>
    <phoneticPr fontId="2"/>
  </si>
  <si>
    <t>ｱ</t>
    <phoneticPr fontId="3"/>
  </si>
  <si>
    <t>ｲ</t>
    <phoneticPr fontId="3"/>
  </si>
  <si>
    <t>ｳ</t>
    <phoneticPr fontId="3"/>
  </si>
  <si>
    <t>ｳ/ｲ*100</t>
    <phoneticPr fontId="2"/>
  </si>
  <si>
    <t>ｴ</t>
    <phoneticPr fontId="3"/>
  </si>
  <si>
    <t>ｴ/ｲ*100</t>
    <phoneticPr fontId="2"/>
  </si>
  <si>
    <t>ｵ</t>
    <phoneticPr fontId="3"/>
  </si>
  <si>
    <t>ｵ/ｴ*100</t>
    <phoneticPr fontId="2"/>
  </si>
  <si>
    <t>ｶ</t>
    <phoneticPr fontId="3"/>
  </si>
  <si>
    <t>ｶ/ｲ*100</t>
    <phoneticPr fontId="2"/>
  </si>
  <si>
    <t>ｷ</t>
    <phoneticPr fontId="3"/>
  </si>
  <si>
    <t>ｷ/ｲ*100</t>
    <phoneticPr fontId="2"/>
  </si>
  <si>
    <t>ｸ</t>
    <phoneticPr fontId="3"/>
  </si>
  <si>
    <t>ｸ/ｷ*100</t>
    <phoneticPr fontId="2"/>
  </si>
  <si>
    <t>ｹ</t>
    <phoneticPr fontId="3"/>
  </si>
  <si>
    <t>ｺ</t>
    <phoneticPr fontId="3"/>
  </si>
  <si>
    <t>ｻ</t>
    <phoneticPr fontId="3"/>
  </si>
  <si>
    <t>ｼ</t>
    <phoneticPr fontId="3"/>
  </si>
  <si>
    <t>ｽ</t>
    <phoneticPr fontId="2"/>
  </si>
  <si>
    <t>木曽町</t>
    <phoneticPr fontId="2"/>
  </si>
  <si>
    <t>長野県計</t>
    <rPh sb="0" eb="2">
      <t>ナガノ</t>
    </rPh>
    <rPh sb="2" eb="3">
      <t>ケン</t>
    </rPh>
    <phoneticPr fontId="2"/>
  </si>
  <si>
    <t>４　水洗化（生活排水の快適処理）率</t>
    <rPh sb="2" eb="5">
      <t>スイセンカ</t>
    </rPh>
    <rPh sb="6" eb="8">
      <t>セイカツ</t>
    </rPh>
    <rPh sb="8" eb="10">
      <t>ハイスイ</t>
    </rPh>
    <rPh sb="11" eb="13">
      <t>カイテキ</t>
    </rPh>
    <rPh sb="13" eb="15">
      <t>ショリ</t>
    </rPh>
    <rPh sb="16" eb="17">
      <t>リツ</t>
    </rPh>
    <phoneticPr fontId="3"/>
  </si>
  <si>
    <t>（平成27年度末現在）</t>
    <rPh sb="1" eb="3">
      <t>ヘイセイ</t>
    </rPh>
    <rPh sb="5" eb="8">
      <t>ネンドマツ</t>
    </rPh>
    <rPh sb="8" eb="10">
      <t>ゲンザイ</t>
    </rPh>
    <phoneticPr fontId="2"/>
  </si>
  <si>
    <t>（注） １ 数字はH28年3月31日現在。ただし、H28年4月1日供用開始告示人口を含む。</t>
    <rPh sb="1" eb="2">
      <t>チュウ</t>
    </rPh>
    <rPh sb="6" eb="8">
      <t>スウジ</t>
    </rPh>
    <rPh sb="12" eb="13">
      <t>ネン</t>
    </rPh>
    <rPh sb="14" eb="15">
      <t>ガツ</t>
    </rPh>
    <rPh sb="17" eb="18">
      <t>ヒ</t>
    </rPh>
    <rPh sb="18" eb="20">
      <t>ゲンザイ</t>
    </rPh>
    <rPh sb="28" eb="29">
      <t>ネン</t>
    </rPh>
    <rPh sb="30" eb="31">
      <t>ガツ</t>
    </rPh>
    <rPh sb="32" eb="33">
      <t>ヒ</t>
    </rPh>
    <rPh sb="33" eb="35">
      <t>キョウヨウ</t>
    </rPh>
    <rPh sb="35" eb="37">
      <t>カイシ</t>
    </rPh>
    <rPh sb="37" eb="39">
      <t>コクジ</t>
    </rPh>
    <rPh sb="39" eb="41">
      <t>ジンコウ</t>
    </rPh>
    <rPh sb="42" eb="43">
      <t>フク</t>
    </rPh>
    <phoneticPr fontId="2"/>
  </si>
  <si>
    <t>白馬村</t>
    <rPh sb="0" eb="2">
      <t>ハクバ</t>
    </rPh>
    <phoneticPr fontId="2"/>
  </si>
  <si>
    <t>　　　 ２ 浄化槽は集合処理区域外に設置されている浄化槽。</t>
    <rPh sb="6" eb="9">
      <t>ジョウカソウ</t>
    </rPh>
    <rPh sb="10" eb="12">
      <t>シュウゴウ</t>
    </rPh>
    <rPh sb="12" eb="14">
      <t>ショリ</t>
    </rPh>
    <rPh sb="14" eb="16">
      <t>クイキ</t>
    </rPh>
    <rPh sb="16" eb="17">
      <t>ガイ</t>
    </rPh>
    <rPh sb="18" eb="20">
      <t>セッチ</t>
    </rPh>
    <rPh sb="25" eb="28">
      <t>ジョウカソウ</t>
    </rPh>
    <phoneticPr fontId="2"/>
  </si>
  <si>
    <t>　　　 ３ 小規模集合排水処理施設事業は農業集落排水施設等に含む。</t>
    <rPh sb="30" eb="31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</si>
</sst>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_ "/>
  </numFmts>
  <fonts count="24">
    <font>
      <sz val="5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5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20" fillId="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1" fillId="0" borderId="0" xfId="42" applyFont="1" applyAlignment="1">
      <alignment vertical="center"/>
    </xf>
    <xf numFmtId="0" fontId="22" fillId="0" borderId="0" xfId="42" applyFont="1" applyAlignment="1">
      <alignment horizontal="right"/>
    </xf>
    <xf numFmtId="0" fontId="1" fillId="0" borderId="0" xfId="42" applyFont="1" applyBorder="1" applyAlignment="1" applyProtection="1">
      <alignment horizontal="left" vertical="center"/>
    </xf>
    <xf numFmtId="0" fontId="21" fillId="0" borderId="0" xfId="42" applyFont="1" applyAlignment="1">
      <alignment horizontal="center" vertical="center"/>
    </xf>
    <xf numFmtId="0" fontId="21" fillId="0" borderId="0" xfId="42" applyFont="1" applyBorder="1" applyAlignment="1">
      <alignment horizontal="center" vertical="center"/>
    </xf>
    <xf numFmtId="0" fontId="21" fillId="0" borderId="0" xfId="42" applyFont="1" applyBorder="1" applyAlignment="1">
      <alignment vertical="center"/>
    </xf>
    <xf numFmtId="38" fontId="21" fillId="0" borderId="0" xfId="42" applyNumberFormat="1" applyFont="1" applyBorder="1" applyAlignment="1">
      <alignment vertical="center"/>
    </xf>
    <xf numFmtId="0" fontId="21" fillId="0" borderId="0" xfId="42" applyFont="1" applyFill="1" applyAlignment="1">
      <alignment vertical="center"/>
    </xf>
    <xf numFmtId="0" fontId="23" fillId="0" borderId="0" xfId="42" applyFont="1" applyAlignment="1">
      <alignment vertical="center"/>
    </xf>
    <xf numFmtId="0" fontId="21" fillId="24" borderId="18" xfId="42" applyFont="1" applyFill="1" applyBorder="1" applyAlignment="1" applyProtection="1">
      <alignment horizontal="center" vertical="center"/>
    </xf>
    <xf numFmtId="0" fontId="21" fillId="24" borderId="16" xfId="42" applyFont="1" applyFill="1" applyBorder="1" applyAlignment="1" applyProtection="1">
      <alignment horizontal="center" vertical="center"/>
    </xf>
    <xf numFmtId="0" fontId="21" fillId="25" borderId="18" xfId="42" applyFont="1" applyFill="1" applyBorder="1" applyAlignment="1" applyProtection="1">
      <alignment horizontal="center" vertical="center"/>
    </xf>
    <xf numFmtId="0" fontId="21" fillId="25" borderId="16" xfId="42" applyFont="1" applyFill="1" applyBorder="1" applyAlignment="1" applyProtection="1">
      <alignment horizontal="center" vertical="center"/>
    </xf>
    <xf numFmtId="0" fontId="21" fillId="26" borderId="12" xfId="42" applyFont="1" applyFill="1" applyBorder="1" applyAlignment="1" applyProtection="1">
      <alignment horizontal="center" vertical="center"/>
    </xf>
    <xf numFmtId="0" fontId="21" fillId="26" borderId="18" xfId="42" applyFont="1" applyFill="1" applyBorder="1" applyAlignment="1" applyProtection="1">
      <alignment horizontal="center" vertical="center"/>
    </xf>
    <xf numFmtId="0" fontId="21" fillId="26" borderId="16" xfId="42" applyFont="1" applyFill="1" applyBorder="1" applyAlignment="1" applyProtection="1">
      <alignment horizontal="center" vertical="center"/>
    </xf>
    <xf numFmtId="0" fontId="21" fillId="27" borderId="22" xfId="42" applyFont="1" applyFill="1" applyBorder="1" applyAlignment="1" applyProtection="1">
      <alignment horizontal="center" vertical="center"/>
    </xf>
    <xf numFmtId="0" fontId="21" fillId="27" borderId="20" xfId="42" applyFont="1" applyFill="1" applyBorder="1" applyAlignment="1" applyProtection="1">
      <alignment horizontal="center" vertical="center"/>
    </xf>
    <xf numFmtId="0" fontId="21" fillId="27" borderId="16" xfId="42" applyFont="1" applyFill="1" applyBorder="1" applyAlignment="1" applyProtection="1">
      <alignment horizontal="center" vertical="center"/>
    </xf>
    <xf numFmtId="0" fontId="21" fillId="27" borderId="19" xfId="42" applyFont="1" applyFill="1" applyBorder="1" applyAlignment="1" applyProtection="1">
      <alignment horizontal="center" vertical="center"/>
    </xf>
    <xf numFmtId="0" fontId="21" fillId="27" borderId="20" xfId="42" applyFont="1" applyFill="1" applyBorder="1" applyAlignment="1" applyProtection="1">
      <alignment horizontal="center" vertical="center" shrinkToFit="1"/>
    </xf>
    <xf numFmtId="0" fontId="21" fillId="27" borderId="21" xfId="42" applyFont="1" applyFill="1" applyBorder="1" applyAlignment="1" applyProtection="1">
      <alignment horizontal="center" vertical="center"/>
    </xf>
    <xf numFmtId="0" fontId="21" fillId="27" borderId="17" xfId="42" applyFont="1" applyFill="1" applyBorder="1" applyAlignment="1" applyProtection="1">
      <alignment horizontal="center" vertical="center"/>
    </xf>
    <xf numFmtId="0" fontId="21" fillId="27" borderId="23" xfId="42" applyFont="1" applyFill="1" applyBorder="1" applyAlignment="1" applyProtection="1">
      <alignment horizontal="center" vertical="center"/>
    </xf>
    <xf numFmtId="0" fontId="21" fillId="27" borderId="24" xfId="42" applyFont="1" applyFill="1" applyBorder="1" applyAlignment="1" applyProtection="1">
      <alignment horizontal="center" vertical="center"/>
    </xf>
    <xf numFmtId="0" fontId="21" fillId="27" borderId="25" xfId="42" applyFont="1" applyFill="1" applyBorder="1" applyAlignment="1" applyProtection="1">
      <alignment horizontal="center" vertical="center"/>
    </xf>
    <xf numFmtId="0" fontId="21" fillId="27" borderId="29" xfId="42" applyFont="1" applyFill="1" applyBorder="1" applyAlignment="1" applyProtection="1">
      <alignment horizontal="center" vertical="center"/>
    </xf>
    <xf numFmtId="0" fontId="21" fillId="27" borderId="30" xfId="42" applyFont="1" applyFill="1" applyBorder="1" applyAlignment="1" applyProtection="1">
      <alignment horizontal="center" vertical="center"/>
    </xf>
    <xf numFmtId="0" fontId="21" fillId="27" borderId="31" xfId="42" applyFont="1" applyFill="1" applyBorder="1" applyAlignment="1" applyProtection="1">
      <alignment horizontal="center" vertical="center"/>
    </xf>
    <xf numFmtId="0" fontId="21" fillId="27" borderId="32" xfId="42" applyFont="1" applyFill="1" applyBorder="1" applyAlignment="1">
      <alignment horizontal="left" vertical="center"/>
    </xf>
    <xf numFmtId="0" fontId="21" fillId="27" borderId="33" xfId="42" applyFont="1" applyFill="1" applyBorder="1" applyAlignment="1">
      <alignment horizontal="left" vertical="center"/>
    </xf>
    <xf numFmtId="0" fontId="0" fillId="27" borderId="34" xfId="42" applyFont="1" applyFill="1" applyBorder="1" applyAlignment="1" applyProtection="1">
      <alignment horizontal="left" vertical="center"/>
    </xf>
    <xf numFmtId="0" fontId="2" fillId="0" borderId="0" xfId="42" applyFont="1" applyAlignment="1">
      <alignment vertical="center"/>
    </xf>
    <xf numFmtId="38" fontId="21" fillId="0" borderId="0" xfId="42" applyNumberFormat="1" applyFont="1" applyFill="1" applyBorder="1" applyAlignment="1">
      <alignment vertical="center"/>
    </xf>
    <xf numFmtId="0" fontId="0" fillId="27" borderId="33" xfId="42" applyFont="1" applyFill="1" applyBorder="1" applyAlignment="1">
      <alignment horizontal="left" vertical="center"/>
    </xf>
    <xf numFmtId="37" fontId="21" fillId="0" borderId="26" xfId="42" applyNumberFormat="1" applyFont="1" applyFill="1" applyBorder="1" applyAlignment="1" applyProtection="1">
      <alignment vertical="center"/>
    </xf>
    <xf numFmtId="38" fontId="21" fillId="0" borderId="10" xfId="33" applyFont="1" applyFill="1" applyBorder="1" applyAlignment="1">
      <alignment vertical="center"/>
    </xf>
    <xf numFmtId="176" fontId="21" fillId="0" borderId="10" xfId="42" applyNumberFormat="1" applyFont="1" applyFill="1" applyBorder="1" applyAlignment="1" applyProtection="1">
      <alignment vertical="center"/>
    </xf>
    <xf numFmtId="37" fontId="21" fillId="0" borderId="10" xfId="42" applyNumberFormat="1" applyFont="1" applyFill="1" applyBorder="1" applyAlignment="1" applyProtection="1">
      <alignment vertical="center"/>
    </xf>
    <xf numFmtId="38" fontId="21" fillId="0" borderId="10" xfId="33" applyFont="1" applyFill="1" applyBorder="1" applyAlignment="1" applyProtection="1">
      <alignment vertical="center"/>
    </xf>
    <xf numFmtId="37" fontId="21" fillId="0" borderId="22" xfId="42" applyNumberFormat="1" applyFont="1" applyFill="1" applyBorder="1" applyAlignment="1" applyProtection="1">
      <alignment vertical="center"/>
    </xf>
    <xf numFmtId="37" fontId="21" fillId="28" borderId="10" xfId="42" applyNumberFormat="1" applyFont="1" applyFill="1" applyBorder="1" applyAlignment="1" applyProtection="1">
      <alignment vertical="center"/>
    </xf>
    <xf numFmtId="176" fontId="21" fillId="28" borderId="11" xfId="42" applyNumberFormat="1" applyFont="1" applyFill="1" applyBorder="1" applyAlignment="1" applyProtection="1">
      <alignment vertical="center"/>
    </xf>
    <xf numFmtId="37" fontId="21" fillId="0" borderId="27" xfId="42" applyNumberFormat="1" applyFont="1" applyFill="1" applyBorder="1" applyAlignment="1" applyProtection="1">
      <alignment vertical="center"/>
    </xf>
    <xf numFmtId="38" fontId="21" fillId="0" borderId="12" xfId="33" applyFont="1" applyFill="1" applyBorder="1" applyAlignment="1">
      <alignment vertical="center"/>
    </xf>
    <xf numFmtId="176" fontId="21" fillId="0" borderId="12" xfId="42" applyNumberFormat="1" applyFont="1" applyFill="1" applyBorder="1" applyAlignment="1" applyProtection="1">
      <alignment vertical="center"/>
    </xf>
    <xf numFmtId="37" fontId="21" fillId="0" borderId="12" xfId="42" applyNumberFormat="1" applyFont="1" applyFill="1" applyBorder="1" applyAlignment="1" applyProtection="1">
      <alignment vertical="center"/>
    </xf>
    <xf numFmtId="38" fontId="21" fillId="0" borderId="12" xfId="33" applyFont="1" applyFill="1" applyBorder="1" applyAlignment="1" applyProtection="1">
      <alignment vertical="center"/>
    </xf>
    <xf numFmtId="37" fontId="21" fillId="28" borderId="12" xfId="42" applyNumberFormat="1" applyFont="1" applyFill="1" applyBorder="1" applyAlignment="1" applyProtection="1">
      <alignment vertical="center"/>
    </xf>
    <xf numFmtId="176" fontId="21" fillId="28" borderId="13" xfId="42" applyNumberFormat="1" applyFont="1" applyFill="1" applyBorder="1" applyAlignment="1" applyProtection="1">
      <alignment vertical="center"/>
    </xf>
    <xf numFmtId="38" fontId="21" fillId="25" borderId="12" xfId="33" applyFont="1" applyFill="1" applyBorder="1" applyAlignment="1">
      <alignment vertical="center"/>
    </xf>
    <xf numFmtId="176" fontId="21" fillId="25" borderId="12" xfId="42" applyNumberFormat="1" applyFont="1" applyFill="1" applyBorder="1" applyAlignment="1" applyProtection="1">
      <alignment vertical="center"/>
    </xf>
    <xf numFmtId="38" fontId="21" fillId="24" borderId="12" xfId="33" applyFont="1" applyFill="1" applyBorder="1" applyAlignment="1">
      <alignment vertical="center"/>
    </xf>
    <xf numFmtId="176" fontId="21" fillId="24" borderId="12" xfId="42" applyNumberFormat="1" applyFont="1" applyFill="1" applyBorder="1" applyAlignment="1" applyProtection="1">
      <alignment vertical="center"/>
    </xf>
    <xf numFmtId="37" fontId="21" fillId="26" borderId="12" xfId="42" applyNumberFormat="1" applyFont="1" applyFill="1" applyBorder="1" applyAlignment="1" applyProtection="1">
      <alignment vertical="center"/>
    </xf>
    <xf numFmtId="38" fontId="21" fillId="26" borderId="12" xfId="33" applyFont="1" applyFill="1" applyBorder="1" applyAlignment="1" applyProtection="1">
      <alignment vertical="center"/>
    </xf>
    <xf numFmtId="37" fontId="21" fillId="0" borderId="28" xfId="42" applyNumberFormat="1" applyFont="1" applyFill="1" applyBorder="1" applyAlignment="1" applyProtection="1">
      <alignment vertical="center"/>
    </xf>
    <xf numFmtId="37" fontId="21" fillId="0" borderId="14" xfId="42" applyNumberFormat="1" applyFont="1" applyFill="1" applyBorder="1" applyAlignment="1" applyProtection="1">
      <alignment vertical="center"/>
    </xf>
    <xf numFmtId="176" fontId="21" fillId="0" borderId="14" xfId="42" applyNumberFormat="1" applyFont="1" applyFill="1" applyBorder="1" applyAlignment="1" applyProtection="1">
      <alignment vertical="center"/>
    </xf>
    <xf numFmtId="177" fontId="21" fillId="0" borderId="14" xfId="42" applyNumberFormat="1" applyFont="1" applyFill="1" applyBorder="1" applyAlignment="1">
      <alignment vertical="center"/>
    </xf>
    <xf numFmtId="37" fontId="21" fillId="28" borderId="14" xfId="42" applyNumberFormat="1" applyFont="1" applyFill="1" applyBorder="1" applyAlignment="1" applyProtection="1">
      <alignment vertical="center"/>
    </xf>
    <xf numFmtId="176" fontId="21" fillId="28" borderId="15" xfId="42" applyNumberFormat="1" applyFont="1" applyFill="1" applyBorder="1" applyAlignment="1" applyProtection="1">
      <alignment vertical="center"/>
    </xf>
    <xf numFmtId="0" fontId="21" fillId="27" borderId="10" xfId="42" applyFont="1" applyFill="1" applyBorder="1" applyAlignment="1" applyProtection="1">
      <alignment horizontal="center" vertical="center"/>
    </xf>
    <xf numFmtId="0" fontId="21" fillId="27" borderId="10" xfId="42" applyFont="1" applyFill="1" applyBorder="1" applyAlignment="1">
      <alignment horizontal="center" vertical="center"/>
    </xf>
    <xf numFmtId="0" fontId="21" fillId="24" borderId="12" xfId="42" applyFont="1" applyFill="1" applyBorder="1" applyAlignment="1" applyProtection="1">
      <alignment horizontal="center" vertical="center"/>
    </xf>
    <xf numFmtId="0" fontId="21" fillId="24" borderId="12" xfId="42" applyFont="1" applyFill="1" applyBorder="1" applyAlignment="1">
      <alignment horizontal="center" vertical="center"/>
    </xf>
    <xf numFmtId="0" fontId="0" fillId="25" borderId="12" xfId="42" applyFont="1" applyFill="1" applyBorder="1" applyAlignment="1" applyProtection="1">
      <alignment horizontal="center" vertical="center"/>
    </xf>
    <xf numFmtId="0" fontId="21" fillId="25" borderId="12" xfId="42" applyFont="1" applyFill="1" applyBorder="1" applyAlignment="1" applyProtection="1">
      <alignment horizontal="center" vertical="center"/>
    </xf>
    <xf numFmtId="0" fontId="21" fillId="25" borderId="12" xfId="42" applyFont="1" applyFill="1" applyBorder="1" applyAlignment="1">
      <alignment horizontal="center" vertical="center"/>
    </xf>
    <xf numFmtId="0" fontId="21" fillId="26" borderId="12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 customBuiltin="1"/>
    <cellStyle name="標準_H23水洗化率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4"/>
  <sheetViews>
    <sheetView tabSelected="1" view="pageLayout" topLeftCell="B76" zoomScale="130" zoomScaleNormal="150" zoomScaleSheetLayoutView="200" zoomScalePageLayoutView="130" workbookViewId="0">
      <selection activeCell="T5" sqref="T5"/>
    </sheetView>
  </sheetViews>
  <sheetFormatPr defaultColWidth="12.5" defaultRowHeight="8.25"/>
  <cols>
    <col min="1" max="1" width="2" style="1" customWidth="1"/>
    <col min="2" max="2" width="2.75" style="1" customWidth="1"/>
    <col min="3" max="3" width="11" style="1" customWidth="1"/>
    <col min="4" max="5" width="11.25" style="1" customWidth="1"/>
    <col min="6" max="6" width="9.25" style="1" customWidth="1"/>
    <col min="7" max="7" width="11.25" style="1" customWidth="1"/>
    <col min="8" max="8" width="9.25" style="1" customWidth="1"/>
    <col min="9" max="9" width="11.25" style="1" customWidth="1"/>
    <col min="10" max="10" width="9.25" style="1" customWidth="1"/>
    <col min="11" max="11" width="11.25" style="1" customWidth="1"/>
    <col min="12" max="12" width="9.25" style="1" customWidth="1"/>
    <col min="13" max="13" width="11.25" style="1" customWidth="1"/>
    <col min="14" max="14" width="9.25" style="1" customWidth="1"/>
    <col min="15" max="15" width="11.25" style="1" customWidth="1"/>
    <col min="16" max="16" width="9.25" style="1" customWidth="1"/>
    <col min="17" max="20" width="11.25" style="1" customWidth="1"/>
    <col min="21" max="21" width="9.25" style="1" customWidth="1"/>
    <col min="22" max="22" width="8.75" style="1" customWidth="1"/>
    <col min="23" max="16384" width="12.5" style="1"/>
  </cols>
  <sheetData>
    <row r="1" spans="1:28" ht="20.25" customHeight="1">
      <c r="B1" s="3" t="s">
        <v>115</v>
      </c>
      <c r="U1" s="2" t="s">
        <v>116</v>
      </c>
    </row>
    <row r="2" spans="1:28" s="4" customFormat="1" ht="10.5" customHeight="1">
      <c r="C2" s="27"/>
      <c r="D2" s="24"/>
      <c r="E2" s="63" t="s">
        <v>0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4"/>
      <c r="S2" s="64"/>
      <c r="T2" s="17"/>
      <c r="U2" s="20"/>
      <c r="V2" s="5"/>
    </row>
    <row r="3" spans="1:28" s="4" customFormat="1" ht="10.5" customHeight="1">
      <c r="C3" s="28"/>
      <c r="D3" s="25"/>
      <c r="E3" s="65" t="s">
        <v>85</v>
      </c>
      <c r="F3" s="65"/>
      <c r="G3" s="66"/>
      <c r="H3" s="66"/>
      <c r="I3" s="66"/>
      <c r="J3" s="66"/>
      <c r="K3" s="67" t="s">
        <v>1</v>
      </c>
      <c r="L3" s="68"/>
      <c r="M3" s="69"/>
      <c r="N3" s="69"/>
      <c r="O3" s="69"/>
      <c r="P3" s="69"/>
      <c r="Q3" s="70" t="s">
        <v>86</v>
      </c>
      <c r="R3" s="70"/>
      <c r="S3" s="70"/>
      <c r="T3" s="21" t="s">
        <v>2</v>
      </c>
      <c r="U3" s="22" t="s">
        <v>3</v>
      </c>
      <c r="V3" s="5"/>
    </row>
    <row r="4" spans="1:28" s="4" customFormat="1" ht="10.5" customHeight="1">
      <c r="C4" s="28" t="s">
        <v>4</v>
      </c>
      <c r="D4" s="25" t="s">
        <v>5</v>
      </c>
      <c r="E4" s="65" t="s">
        <v>6</v>
      </c>
      <c r="F4" s="66"/>
      <c r="G4" s="65" t="s">
        <v>7</v>
      </c>
      <c r="H4" s="66"/>
      <c r="I4" s="65" t="s">
        <v>2</v>
      </c>
      <c r="J4" s="66"/>
      <c r="K4" s="68" t="s">
        <v>6</v>
      </c>
      <c r="L4" s="69"/>
      <c r="M4" s="68" t="s">
        <v>7</v>
      </c>
      <c r="N4" s="69"/>
      <c r="O4" s="68" t="s">
        <v>2</v>
      </c>
      <c r="P4" s="69"/>
      <c r="Q4" s="14" t="s">
        <v>8</v>
      </c>
      <c r="R4" s="14" t="s">
        <v>9</v>
      </c>
      <c r="S4" s="14" t="s">
        <v>10</v>
      </c>
      <c r="T4" s="18" t="s">
        <v>11</v>
      </c>
      <c r="U4" s="22"/>
      <c r="V4" s="5"/>
    </row>
    <row r="5" spans="1:28" s="4" customFormat="1">
      <c r="C5" s="28"/>
      <c r="D5" s="25"/>
      <c r="E5" s="10"/>
      <c r="F5" s="10" t="s">
        <v>12</v>
      </c>
      <c r="G5" s="10"/>
      <c r="H5" s="10" t="s">
        <v>12</v>
      </c>
      <c r="I5" s="10"/>
      <c r="J5" s="10" t="s">
        <v>12</v>
      </c>
      <c r="K5" s="12"/>
      <c r="L5" s="12" t="s">
        <v>12</v>
      </c>
      <c r="M5" s="12"/>
      <c r="N5" s="12" t="s">
        <v>12</v>
      </c>
      <c r="O5" s="12"/>
      <c r="P5" s="12" t="s">
        <v>12</v>
      </c>
      <c r="Q5" s="15" t="s">
        <v>13</v>
      </c>
      <c r="R5" s="15"/>
      <c r="S5" s="15" t="s">
        <v>91</v>
      </c>
      <c r="T5" s="18" t="s">
        <v>92</v>
      </c>
      <c r="U5" s="22" t="s">
        <v>93</v>
      </c>
      <c r="V5" s="5"/>
    </row>
    <row r="6" spans="1:28">
      <c r="C6" s="29" t="s">
        <v>94</v>
      </c>
      <c r="D6" s="26" t="s">
        <v>95</v>
      </c>
      <c r="E6" s="11" t="s">
        <v>96</v>
      </c>
      <c r="F6" s="11" t="s">
        <v>97</v>
      </c>
      <c r="G6" s="11" t="s">
        <v>98</v>
      </c>
      <c r="H6" s="11" t="s">
        <v>99</v>
      </c>
      <c r="I6" s="11" t="s">
        <v>100</v>
      </c>
      <c r="J6" s="11" t="s">
        <v>101</v>
      </c>
      <c r="K6" s="13" t="s">
        <v>102</v>
      </c>
      <c r="L6" s="13" t="s">
        <v>103</v>
      </c>
      <c r="M6" s="13" t="s">
        <v>104</v>
      </c>
      <c r="N6" s="13" t="s">
        <v>105</v>
      </c>
      <c r="O6" s="13" t="s">
        <v>106</v>
      </c>
      <c r="P6" s="13" t="s">
        <v>107</v>
      </c>
      <c r="Q6" s="16" t="s">
        <v>108</v>
      </c>
      <c r="R6" s="16" t="s">
        <v>109</v>
      </c>
      <c r="S6" s="16" t="s">
        <v>110</v>
      </c>
      <c r="T6" s="19" t="s">
        <v>111</v>
      </c>
      <c r="U6" s="23" t="s">
        <v>112</v>
      </c>
      <c r="V6" s="6"/>
    </row>
    <row r="7" spans="1:28" ht="11.25" customHeight="1">
      <c r="A7" s="1">
        <v>9</v>
      </c>
      <c r="C7" s="30" t="s">
        <v>14</v>
      </c>
      <c r="D7" s="36">
        <v>382141</v>
      </c>
      <c r="E7" s="37">
        <f>347624+14985</f>
        <v>362609</v>
      </c>
      <c r="F7" s="38">
        <f t="shared" ref="F7:F28" si="0">E7/D7*100</f>
        <v>94.888797590418193</v>
      </c>
      <c r="G7" s="37">
        <f>342238+14452</f>
        <v>356690</v>
      </c>
      <c r="H7" s="38">
        <f t="shared" ref="H7:H28" si="1">G7/$D7*100</f>
        <v>93.339892866769077</v>
      </c>
      <c r="I7" s="37">
        <f>326701+11826</f>
        <v>338527</v>
      </c>
      <c r="J7" s="38">
        <f t="shared" ref="J7:J28" si="2">I7/$G7*100</f>
        <v>94.907903221284585</v>
      </c>
      <c r="K7" s="37">
        <f>7703+102</f>
        <v>7805</v>
      </c>
      <c r="L7" s="38">
        <f>K7/$D7*100</f>
        <v>2.0424398324178772</v>
      </c>
      <c r="M7" s="37">
        <f>7703+102</f>
        <v>7805</v>
      </c>
      <c r="N7" s="38">
        <f>M7/$D7*100</f>
        <v>2.0424398324178772</v>
      </c>
      <c r="O7" s="37">
        <f>6583+90</f>
        <v>6673</v>
      </c>
      <c r="P7" s="38">
        <f>O7/$M7*100</f>
        <v>85.496476617552858</v>
      </c>
      <c r="Q7" s="39">
        <v>7482</v>
      </c>
      <c r="R7" s="40">
        <v>0</v>
      </c>
      <c r="S7" s="41">
        <f t="shared" ref="S7:S70" si="3">SUM(Q7:R7)</f>
        <v>7482</v>
      </c>
      <c r="T7" s="42">
        <f t="shared" ref="T7:T38" si="4">S7+O7+I7</f>
        <v>352682</v>
      </c>
      <c r="U7" s="43">
        <f t="shared" ref="U7:U38" si="5">T7/D7*100</f>
        <v>92.291065339756798</v>
      </c>
      <c r="V7" s="7">
        <f t="shared" ref="V7:V38" si="6">+D7-E7-K7-S7</f>
        <v>4245</v>
      </c>
    </row>
    <row r="8" spans="1:28" ht="11.25" customHeight="1">
      <c r="A8" s="1">
        <v>7</v>
      </c>
      <c r="C8" s="31" t="s">
        <v>15</v>
      </c>
      <c r="D8" s="44">
        <v>241112</v>
      </c>
      <c r="E8" s="45">
        <f>193661+38991</f>
        <v>232652</v>
      </c>
      <c r="F8" s="46">
        <f t="shared" si="0"/>
        <v>96.491257175088748</v>
      </c>
      <c r="G8" s="45">
        <f>193653+38999</f>
        <v>232652</v>
      </c>
      <c r="H8" s="46">
        <f t="shared" si="1"/>
        <v>96.491257175088748</v>
      </c>
      <c r="I8" s="45">
        <f>191448+36774</f>
        <v>228222</v>
      </c>
      <c r="J8" s="46">
        <f t="shared" si="2"/>
        <v>98.095868507470385</v>
      </c>
      <c r="K8" s="45">
        <f>1202+27</f>
        <v>1229</v>
      </c>
      <c r="L8" s="46">
        <f>K8/$D8*100</f>
        <v>0.50972162314608982</v>
      </c>
      <c r="M8" s="45">
        <f>1202+27</f>
        <v>1229</v>
      </c>
      <c r="N8" s="46">
        <f>M8/$D8*100</f>
        <v>0.50972162314608982</v>
      </c>
      <c r="O8" s="45">
        <f>1202+27</f>
        <v>1229</v>
      </c>
      <c r="P8" s="46">
        <f>O8/$M8*100</f>
        <v>100</v>
      </c>
      <c r="Q8" s="47">
        <v>6409</v>
      </c>
      <c r="R8" s="48">
        <v>0</v>
      </c>
      <c r="S8" s="47">
        <f t="shared" si="3"/>
        <v>6409</v>
      </c>
      <c r="T8" s="49">
        <f t="shared" si="4"/>
        <v>235860</v>
      </c>
      <c r="U8" s="50">
        <f t="shared" si="5"/>
        <v>97.821759182454628</v>
      </c>
      <c r="V8" s="7">
        <f t="shared" si="6"/>
        <v>822</v>
      </c>
    </row>
    <row r="9" spans="1:28" ht="11.25" customHeight="1">
      <c r="A9" s="1">
        <v>2</v>
      </c>
      <c r="C9" s="31" t="s">
        <v>16</v>
      </c>
      <c r="D9" s="44">
        <v>159460</v>
      </c>
      <c r="E9" s="45">
        <f>121163+7975</f>
        <v>129138</v>
      </c>
      <c r="F9" s="46">
        <f t="shared" si="0"/>
        <v>80.98457293365108</v>
      </c>
      <c r="G9" s="45">
        <f>120681+7975</f>
        <v>128656</v>
      </c>
      <c r="H9" s="46">
        <f t="shared" si="1"/>
        <v>80.682302771855007</v>
      </c>
      <c r="I9" s="45">
        <f>109684+7358</f>
        <v>117042</v>
      </c>
      <c r="J9" s="46">
        <f t="shared" si="2"/>
        <v>90.972826762840441</v>
      </c>
      <c r="K9" s="45">
        <v>26555</v>
      </c>
      <c r="L9" s="46">
        <f>K9/$D9*100</f>
        <v>16.653079142104605</v>
      </c>
      <c r="M9" s="45">
        <v>26555</v>
      </c>
      <c r="N9" s="46">
        <f>M9/$D9*100</f>
        <v>16.653079142104605</v>
      </c>
      <c r="O9" s="45">
        <v>24877</v>
      </c>
      <c r="P9" s="46">
        <f>O9/$M9*100</f>
        <v>93.681039352287712</v>
      </c>
      <c r="Q9" s="47">
        <v>3075</v>
      </c>
      <c r="R9" s="48">
        <v>0</v>
      </c>
      <c r="S9" s="47">
        <f t="shared" si="3"/>
        <v>3075</v>
      </c>
      <c r="T9" s="49">
        <f t="shared" si="4"/>
        <v>144994</v>
      </c>
      <c r="U9" s="50">
        <f t="shared" si="5"/>
        <v>90.928132447008664</v>
      </c>
      <c r="V9" s="7">
        <f t="shared" si="6"/>
        <v>692</v>
      </c>
      <c r="W9" s="8"/>
      <c r="X9" s="8"/>
      <c r="Y9" s="8"/>
      <c r="Z9" s="8"/>
      <c r="AA9" s="8"/>
      <c r="AB9" s="8"/>
    </row>
    <row r="10" spans="1:28" ht="11.25" customHeight="1">
      <c r="A10" s="1">
        <v>3</v>
      </c>
      <c r="C10" s="31" t="s">
        <v>17</v>
      </c>
      <c r="D10" s="44">
        <v>51039</v>
      </c>
      <c r="E10" s="45">
        <v>50839</v>
      </c>
      <c r="F10" s="46">
        <f t="shared" si="0"/>
        <v>99.608142792766316</v>
      </c>
      <c r="G10" s="45">
        <v>49522</v>
      </c>
      <c r="H10" s="46">
        <f t="shared" si="1"/>
        <v>97.027763083132498</v>
      </c>
      <c r="I10" s="45">
        <v>49522</v>
      </c>
      <c r="J10" s="46">
        <f t="shared" si="2"/>
        <v>100</v>
      </c>
      <c r="K10" s="51"/>
      <c r="L10" s="52"/>
      <c r="M10" s="51"/>
      <c r="N10" s="52"/>
      <c r="O10" s="51"/>
      <c r="P10" s="52"/>
      <c r="Q10" s="47">
        <v>152</v>
      </c>
      <c r="R10" s="48">
        <v>0</v>
      </c>
      <c r="S10" s="47">
        <f t="shared" si="3"/>
        <v>152</v>
      </c>
      <c r="T10" s="49">
        <f t="shared" si="4"/>
        <v>49674</v>
      </c>
      <c r="U10" s="50">
        <f t="shared" si="5"/>
        <v>97.325574560630102</v>
      </c>
      <c r="V10" s="7">
        <f t="shared" si="6"/>
        <v>48</v>
      </c>
    </row>
    <row r="11" spans="1:28" ht="11.25" customHeight="1">
      <c r="A11" s="1">
        <v>5</v>
      </c>
      <c r="C11" s="31" t="s">
        <v>18</v>
      </c>
      <c r="D11" s="44">
        <v>103712</v>
      </c>
      <c r="E11" s="45">
        <f>76658+9195</f>
        <v>85853</v>
      </c>
      <c r="F11" s="46">
        <f t="shared" si="0"/>
        <v>82.780199012650414</v>
      </c>
      <c r="G11" s="45">
        <f>76658+9195</f>
        <v>85853</v>
      </c>
      <c r="H11" s="46">
        <f t="shared" si="1"/>
        <v>82.780199012650414</v>
      </c>
      <c r="I11" s="45">
        <f>71331+6771</f>
        <v>78102</v>
      </c>
      <c r="J11" s="46">
        <f t="shared" si="2"/>
        <v>90.971777340337553</v>
      </c>
      <c r="K11" s="45">
        <f>6150+81</f>
        <v>6231</v>
      </c>
      <c r="L11" s="46">
        <f>K11/$D11*100</f>
        <v>6.0079836470225239</v>
      </c>
      <c r="M11" s="45">
        <f>6150+81</f>
        <v>6231</v>
      </c>
      <c r="N11" s="46">
        <f>M11/$D11*100</f>
        <v>6.0079836470225239</v>
      </c>
      <c r="O11" s="45">
        <f>5704+81</f>
        <v>5785</v>
      </c>
      <c r="P11" s="46">
        <f>O11/$M11*100</f>
        <v>92.842240410848987</v>
      </c>
      <c r="Q11" s="47">
        <v>8373</v>
      </c>
      <c r="R11" s="48">
        <v>0</v>
      </c>
      <c r="S11" s="47">
        <f t="shared" si="3"/>
        <v>8373</v>
      </c>
      <c r="T11" s="49">
        <f t="shared" si="4"/>
        <v>92260</v>
      </c>
      <c r="U11" s="50">
        <f t="shared" si="5"/>
        <v>88.957883369330446</v>
      </c>
      <c r="V11" s="7">
        <f t="shared" si="6"/>
        <v>3255</v>
      </c>
    </row>
    <row r="12" spans="1:28" ht="11.25" customHeight="1">
      <c r="A12" s="1">
        <v>3</v>
      </c>
      <c r="C12" s="31" t="s">
        <v>19</v>
      </c>
      <c r="D12" s="44">
        <v>50503</v>
      </c>
      <c r="E12" s="45">
        <f>50276+49</f>
        <v>50325</v>
      </c>
      <c r="F12" s="46">
        <f t="shared" si="0"/>
        <v>99.647545690355031</v>
      </c>
      <c r="G12" s="45">
        <f>49822+49</f>
        <v>49871</v>
      </c>
      <c r="H12" s="46">
        <f t="shared" si="1"/>
        <v>98.748589192721226</v>
      </c>
      <c r="I12" s="45">
        <f>49256+49</f>
        <v>49305</v>
      </c>
      <c r="J12" s="46">
        <f t="shared" si="2"/>
        <v>98.865071885464488</v>
      </c>
      <c r="K12" s="51"/>
      <c r="L12" s="52"/>
      <c r="M12" s="51"/>
      <c r="N12" s="52"/>
      <c r="O12" s="51"/>
      <c r="P12" s="52"/>
      <c r="Q12" s="47">
        <v>132</v>
      </c>
      <c r="R12" s="48">
        <v>0</v>
      </c>
      <c r="S12" s="47">
        <f t="shared" si="3"/>
        <v>132</v>
      </c>
      <c r="T12" s="49">
        <f t="shared" si="4"/>
        <v>49437</v>
      </c>
      <c r="U12" s="50">
        <f t="shared" si="5"/>
        <v>97.889234302912698</v>
      </c>
      <c r="V12" s="7">
        <f t="shared" si="6"/>
        <v>46</v>
      </c>
    </row>
    <row r="13" spans="1:28" ht="11.25" customHeight="1">
      <c r="A13" s="1">
        <v>9</v>
      </c>
      <c r="C13" s="31" t="s">
        <v>20</v>
      </c>
      <c r="D13" s="44">
        <v>51521</v>
      </c>
      <c r="E13" s="45">
        <f>41558+8254</f>
        <v>49812</v>
      </c>
      <c r="F13" s="46">
        <f t="shared" si="0"/>
        <v>96.682905999495347</v>
      </c>
      <c r="G13" s="45">
        <f>41405+8230</f>
        <v>49635</v>
      </c>
      <c r="H13" s="46">
        <f t="shared" si="1"/>
        <v>96.339356767143485</v>
      </c>
      <c r="I13" s="45">
        <f>40279+6553</f>
        <v>46832</v>
      </c>
      <c r="J13" s="46">
        <f t="shared" si="2"/>
        <v>94.352775259393567</v>
      </c>
      <c r="K13" s="45">
        <v>974</v>
      </c>
      <c r="L13" s="46">
        <f t="shared" ref="L13:L19" si="7">K13/$D13*100</f>
        <v>1.8904912559927021</v>
      </c>
      <c r="M13" s="45">
        <v>974</v>
      </c>
      <c r="N13" s="46">
        <f t="shared" ref="N13:N19" si="8">M13/$D13*100</f>
        <v>1.8904912559927021</v>
      </c>
      <c r="O13" s="45">
        <v>917</v>
      </c>
      <c r="P13" s="46">
        <f t="shared" ref="P13:P19" si="9">O13/$M13*100</f>
        <v>94.147843942505133</v>
      </c>
      <c r="Q13" s="47">
        <v>268</v>
      </c>
      <c r="R13" s="48">
        <v>0</v>
      </c>
      <c r="S13" s="47">
        <f t="shared" si="3"/>
        <v>268</v>
      </c>
      <c r="T13" s="49">
        <f t="shared" si="4"/>
        <v>48017</v>
      </c>
      <c r="U13" s="50">
        <f t="shared" si="5"/>
        <v>93.198889773102238</v>
      </c>
      <c r="V13" s="7">
        <f t="shared" si="6"/>
        <v>467</v>
      </c>
    </row>
    <row r="14" spans="1:28" ht="11.25" customHeight="1">
      <c r="A14" s="1">
        <v>1</v>
      </c>
      <c r="C14" s="31" t="s">
        <v>21</v>
      </c>
      <c r="D14" s="44">
        <v>43112</v>
      </c>
      <c r="E14" s="45">
        <f>22574+6837</f>
        <v>29411</v>
      </c>
      <c r="F14" s="46">
        <f t="shared" si="0"/>
        <v>68.219985154945263</v>
      </c>
      <c r="G14" s="45">
        <f>22435+6466</f>
        <v>28901</v>
      </c>
      <c r="H14" s="46">
        <f t="shared" si="1"/>
        <v>67.037019855260709</v>
      </c>
      <c r="I14" s="45">
        <f>19735+5780</f>
        <v>25515</v>
      </c>
      <c r="J14" s="46">
        <f t="shared" si="2"/>
        <v>88.284142417217396</v>
      </c>
      <c r="K14" s="45">
        <v>7966</v>
      </c>
      <c r="L14" s="46">
        <f t="shared" si="7"/>
        <v>18.477454073111897</v>
      </c>
      <c r="M14" s="45">
        <v>7966</v>
      </c>
      <c r="N14" s="46">
        <f t="shared" si="8"/>
        <v>18.477454073111897</v>
      </c>
      <c r="O14" s="45">
        <v>6077</v>
      </c>
      <c r="P14" s="46">
        <f t="shared" si="9"/>
        <v>76.286718553853888</v>
      </c>
      <c r="Q14" s="47">
        <v>5456</v>
      </c>
      <c r="R14" s="48">
        <v>0</v>
      </c>
      <c r="S14" s="47">
        <f t="shared" si="3"/>
        <v>5456</v>
      </c>
      <c r="T14" s="49">
        <f t="shared" si="4"/>
        <v>37048</v>
      </c>
      <c r="U14" s="50">
        <f t="shared" si="5"/>
        <v>85.934310632770462</v>
      </c>
      <c r="V14" s="7">
        <f t="shared" si="6"/>
        <v>279</v>
      </c>
    </row>
    <row r="15" spans="1:28" ht="11.25" customHeight="1">
      <c r="A15" s="1">
        <v>4</v>
      </c>
      <c r="C15" s="31" t="s">
        <v>22</v>
      </c>
      <c r="D15" s="44">
        <v>69297</v>
      </c>
      <c r="E15" s="45">
        <f>31234+20261</f>
        <v>51495</v>
      </c>
      <c r="F15" s="46">
        <f t="shared" si="0"/>
        <v>74.310576215420582</v>
      </c>
      <c r="G15" s="45">
        <f>31097+17581</f>
        <v>48678</v>
      </c>
      <c r="H15" s="46">
        <f t="shared" si="1"/>
        <v>70.245465171652455</v>
      </c>
      <c r="I15" s="45">
        <f>27107+14425</f>
        <v>41532</v>
      </c>
      <c r="J15" s="46">
        <f t="shared" si="2"/>
        <v>85.319857019598174</v>
      </c>
      <c r="K15" s="45">
        <f>11367+47</f>
        <v>11414</v>
      </c>
      <c r="L15" s="46">
        <f t="shared" si="7"/>
        <v>16.471131506414419</v>
      </c>
      <c r="M15" s="45">
        <f>11367+47</f>
        <v>11414</v>
      </c>
      <c r="N15" s="46">
        <f t="shared" si="8"/>
        <v>16.471131506414419</v>
      </c>
      <c r="O15" s="45">
        <f>10443+47</f>
        <v>10490</v>
      </c>
      <c r="P15" s="46">
        <f t="shared" si="9"/>
        <v>91.904678465042934</v>
      </c>
      <c r="Q15" s="47">
        <v>4361</v>
      </c>
      <c r="R15" s="48">
        <v>0</v>
      </c>
      <c r="S15" s="47">
        <f t="shared" si="3"/>
        <v>4361</v>
      </c>
      <c r="T15" s="49">
        <f t="shared" si="4"/>
        <v>56383</v>
      </c>
      <c r="U15" s="50">
        <f t="shared" si="5"/>
        <v>81.364272623634506</v>
      </c>
      <c r="V15" s="7">
        <f t="shared" si="6"/>
        <v>2027</v>
      </c>
      <c r="W15" s="8"/>
      <c r="X15" s="8"/>
      <c r="Y15" s="8"/>
      <c r="Z15" s="8"/>
    </row>
    <row r="16" spans="1:28" ht="11.25" customHeight="1">
      <c r="A16" s="1">
        <v>4</v>
      </c>
      <c r="C16" s="31" t="s">
        <v>23</v>
      </c>
      <c r="D16" s="44">
        <v>33266</v>
      </c>
      <c r="E16" s="45">
        <v>20833</v>
      </c>
      <c r="F16" s="46">
        <f t="shared" si="0"/>
        <v>62.625503517104555</v>
      </c>
      <c r="G16" s="45">
        <v>19262</v>
      </c>
      <c r="H16" s="46">
        <f t="shared" si="1"/>
        <v>57.902963987254253</v>
      </c>
      <c r="I16" s="45">
        <v>15714</v>
      </c>
      <c r="J16" s="46">
        <f t="shared" si="2"/>
        <v>81.580313570761092</v>
      </c>
      <c r="K16" s="45">
        <v>11383</v>
      </c>
      <c r="L16" s="46">
        <f t="shared" si="7"/>
        <v>34.218120603619312</v>
      </c>
      <c r="M16" s="45">
        <v>11383</v>
      </c>
      <c r="N16" s="46">
        <f t="shared" si="8"/>
        <v>34.218120603619312</v>
      </c>
      <c r="O16" s="45">
        <v>10535</v>
      </c>
      <c r="P16" s="46">
        <f t="shared" si="9"/>
        <v>92.55029429851534</v>
      </c>
      <c r="Q16" s="47">
        <v>981</v>
      </c>
      <c r="R16" s="48">
        <v>0</v>
      </c>
      <c r="S16" s="47">
        <f t="shared" si="3"/>
        <v>981</v>
      </c>
      <c r="T16" s="49">
        <f t="shared" si="4"/>
        <v>27230</v>
      </c>
      <c r="U16" s="50">
        <f t="shared" si="5"/>
        <v>81.85534780256117</v>
      </c>
      <c r="V16" s="7">
        <f t="shared" si="6"/>
        <v>69</v>
      </c>
      <c r="W16" s="8"/>
      <c r="X16" s="8"/>
      <c r="Y16" s="8"/>
      <c r="Z16" s="8"/>
    </row>
    <row r="17" spans="1:28" ht="11.25" customHeight="1">
      <c r="A17" s="1">
        <v>10</v>
      </c>
      <c r="C17" s="31" t="s">
        <v>24</v>
      </c>
      <c r="D17" s="44">
        <v>45616</v>
      </c>
      <c r="E17" s="45">
        <f>25630+5316</f>
        <v>30946</v>
      </c>
      <c r="F17" s="46">
        <f t="shared" si="0"/>
        <v>67.840231497720097</v>
      </c>
      <c r="G17" s="45">
        <f>25630+5316</f>
        <v>30946</v>
      </c>
      <c r="H17" s="46">
        <f t="shared" si="1"/>
        <v>67.840231497720097</v>
      </c>
      <c r="I17" s="45">
        <f>23317+3996</f>
        <v>27313</v>
      </c>
      <c r="J17" s="46">
        <f t="shared" si="2"/>
        <v>88.260195178698382</v>
      </c>
      <c r="K17" s="45">
        <v>12384</v>
      </c>
      <c r="L17" s="46">
        <f t="shared" si="7"/>
        <v>27.148368993335669</v>
      </c>
      <c r="M17" s="45">
        <v>12384</v>
      </c>
      <c r="N17" s="46">
        <f t="shared" si="8"/>
        <v>27.148368993335669</v>
      </c>
      <c r="O17" s="45">
        <v>10217</v>
      </c>
      <c r="P17" s="46">
        <f t="shared" si="9"/>
        <v>82.501614987080103</v>
      </c>
      <c r="Q17" s="47">
        <v>567</v>
      </c>
      <c r="R17" s="48">
        <v>0</v>
      </c>
      <c r="S17" s="47">
        <f t="shared" si="3"/>
        <v>567</v>
      </c>
      <c r="T17" s="49">
        <f t="shared" si="4"/>
        <v>38097</v>
      </c>
      <c r="U17" s="50">
        <f t="shared" si="5"/>
        <v>83.516748509294985</v>
      </c>
      <c r="V17" s="7">
        <f t="shared" si="6"/>
        <v>1719</v>
      </c>
    </row>
    <row r="18" spans="1:28" ht="11.25" customHeight="1">
      <c r="A18" s="1">
        <v>8</v>
      </c>
      <c r="C18" s="31" t="s">
        <v>25</v>
      </c>
      <c r="D18" s="44">
        <v>28666</v>
      </c>
      <c r="E18" s="45">
        <f>14725+5969</f>
        <v>20694</v>
      </c>
      <c r="F18" s="46">
        <f t="shared" si="0"/>
        <v>72.190050931417005</v>
      </c>
      <c r="G18" s="45">
        <f>14705+5969</f>
        <v>20674</v>
      </c>
      <c r="H18" s="46">
        <f t="shared" si="1"/>
        <v>72.120281867020168</v>
      </c>
      <c r="I18" s="45">
        <f>10599+3523</f>
        <v>14122</v>
      </c>
      <c r="J18" s="46">
        <f t="shared" si="2"/>
        <v>68.30801973493277</v>
      </c>
      <c r="K18" s="45">
        <f>942+64</f>
        <v>1006</v>
      </c>
      <c r="L18" s="46">
        <f t="shared" si="7"/>
        <v>3.5093839391613759</v>
      </c>
      <c r="M18" s="45">
        <f>942+64</f>
        <v>1006</v>
      </c>
      <c r="N18" s="46">
        <f t="shared" si="8"/>
        <v>3.5093839391613759</v>
      </c>
      <c r="O18" s="45">
        <f>942+64</f>
        <v>1006</v>
      </c>
      <c r="P18" s="46">
        <f t="shared" si="9"/>
        <v>100</v>
      </c>
      <c r="Q18" s="47">
        <v>4579</v>
      </c>
      <c r="R18" s="48">
        <v>0</v>
      </c>
      <c r="S18" s="47">
        <f t="shared" si="3"/>
        <v>4579</v>
      </c>
      <c r="T18" s="49">
        <f t="shared" si="4"/>
        <v>19707</v>
      </c>
      <c r="U18" s="50">
        <f t="shared" si="5"/>
        <v>68.746947603432645</v>
      </c>
      <c r="V18" s="7">
        <f t="shared" si="6"/>
        <v>2387</v>
      </c>
    </row>
    <row r="19" spans="1:28" ht="11.25" customHeight="1">
      <c r="A19" s="1">
        <v>10</v>
      </c>
      <c r="C19" s="31" t="s">
        <v>26</v>
      </c>
      <c r="D19" s="44">
        <v>22124</v>
      </c>
      <c r="E19" s="45">
        <f>12411+4025</f>
        <v>16436</v>
      </c>
      <c r="F19" s="46">
        <f t="shared" si="0"/>
        <v>74.290363406255651</v>
      </c>
      <c r="G19" s="45">
        <f>12411+4025</f>
        <v>16436</v>
      </c>
      <c r="H19" s="46">
        <f t="shared" si="1"/>
        <v>74.290363406255651</v>
      </c>
      <c r="I19" s="45">
        <f>10942+3772</f>
        <v>14714</v>
      </c>
      <c r="J19" s="46">
        <f t="shared" si="2"/>
        <v>89.522998296422486</v>
      </c>
      <c r="K19" s="45">
        <v>5307</v>
      </c>
      <c r="L19" s="46">
        <f t="shared" si="7"/>
        <v>23.987524859880676</v>
      </c>
      <c r="M19" s="45">
        <v>5307</v>
      </c>
      <c r="N19" s="46">
        <f t="shared" si="8"/>
        <v>23.987524859880676</v>
      </c>
      <c r="O19" s="45">
        <v>4890</v>
      </c>
      <c r="P19" s="46">
        <f t="shared" si="9"/>
        <v>92.14245336348219</v>
      </c>
      <c r="Q19" s="47">
        <v>185</v>
      </c>
      <c r="R19" s="48">
        <v>0</v>
      </c>
      <c r="S19" s="47">
        <f t="shared" si="3"/>
        <v>185</v>
      </c>
      <c r="T19" s="49">
        <f t="shared" si="4"/>
        <v>19789</v>
      </c>
      <c r="U19" s="50">
        <f t="shared" si="5"/>
        <v>89.445850659916843</v>
      </c>
      <c r="V19" s="7">
        <f t="shared" si="6"/>
        <v>196</v>
      </c>
    </row>
    <row r="20" spans="1:28" ht="11.25" customHeight="1">
      <c r="A20" s="1">
        <v>3</v>
      </c>
      <c r="C20" s="31" t="s">
        <v>27</v>
      </c>
      <c r="D20" s="44">
        <v>55910</v>
      </c>
      <c r="E20" s="45">
        <f>49787+4783</f>
        <v>54570</v>
      </c>
      <c r="F20" s="46">
        <f t="shared" si="0"/>
        <v>97.603291003398311</v>
      </c>
      <c r="G20" s="45">
        <f>49322+4738</f>
        <v>54060</v>
      </c>
      <c r="H20" s="46">
        <f t="shared" si="1"/>
        <v>96.691110713646935</v>
      </c>
      <c r="I20" s="45">
        <f>48851+4637</f>
        <v>53488</v>
      </c>
      <c r="J20" s="46">
        <f t="shared" si="2"/>
        <v>98.941916389197189</v>
      </c>
      <c r="K20" s="51"/>
      <c r="L20" s="52"/>
      <c r="M20" s="51"/>
      <c r="N20" s="52"/>
      <c r="O20" s="51"/>
      <c r="P20" s="52"/>
      <c r="Q20" s="47">
        <v>1340</v>
      </c>
      <c r="R20" s="48">
        <v>0</v>
      </c>
      <c r="S20" s="47">
        <f t="shared" si="3"/>
        <v>1340</v>
      </c>
      <c r="T20" s="49">
        <f t="shared" si="4"/>
        <v>54828</v>
      </c>
      <c r="U20" s="50">
        <f t="shared" si="5"/>
        <v>98.064746914684306</v>
      </c>
      <c r="V20" s="7">
        <f t="shared" si="6"/>
        <v>0</v>
      </c>
    </row>
    <row r="21" spans="1:28" ht="11.25" customHeight="1">
      <c r="A21" s="1">
        <v>7</v>
      </c>
      <c r="C21" s="31" t="s">
        <v>28</v>
      </c>
      <c r="D21" s="44">
        <v>67447</v>
      </c>
      <c r="E21" s="45">
        <f>51310+9281</f>
        <v>60591</v>
      </c>
      <c r="F21" s="46">
        <f t="shared" si="0"/>
        <v>89.834981541061879</v>
      </c>
      <c r="G21" s="45">
        <f>51298+9274</f>
        <v>60572</v>
      </c>
      <c r="H21" s="46">
        <f t="shared" si="1"/>
        <v>89.806811274037386</v>
      </c>
      <c r="I21" s="45">
        <f>50275+8708</f>
        <v>58983</v>
      </c>
      <c r="J21" s="46">
        <f t="shared" si="2"/>
        <v>97.376675691738754</v>
      </c>
      <c r="K21" s="45">
        <f>6244+43</f>
        <v>6287</v>
      </c>
      <c r="L21" s="46">
        <f t="shared" ref="L21:L28" si="10">K21/$D21*100</f>
        <v>9.3213930938366421</v>
      </c>
      <c r="M21" s="45">
        <f>6244+43</f>
        <v>6287</v>
      </c>
      <c r="N21" s="46">
        <f t="shared" ref="N21:N28" si="11">M21/$D21*100</f>
        <v>9.3213930938366421</v>
      </c>
      <c r="O21" s="45">
        <f>5735+38</f>
        <v>5773</v>
      </c>
      <c r="P21" s="46">
        <f t="shared" ref="P21:P28" si="12">O21/$M21*100</f>
        <v>91.824399554636543</v>
      </c>
      <c r="Q21" s="47">
        <v>420</v>
      </c>
      <c r="R21" s="48">
        <v>0</v>
      </c>
      <c r="S21" s="47">
        <f t="shared" si="3"/>
        <v>420</v>
      </c>
      <c r="T21" s="49">
        <f t="shared" si="4"/>
        <v>65176</v>
      </c>
      <c r="U21" s="50">
        <f t="shared" si="5"/>
        <v>96.632911767758387</v>
      </c>
      <c r="V21" s="7">
        <f t="shared" si="6"/>
        <v>149</v>
      </c>
    </row>
    <row r="22" spans="1:28" ht="11.25" customHeight="1">
      <c r="A22" s="1">
        <v>1</v>
      </c>
      <c r="C22" s="31" t="s">
        <v>29</v>
      </c>
      <c r="D22" s="44">
        <v>99616</v>
      </c>
      <c r="E22" s="45">
        <f>63517+12387</f>
        <v>75904</v>
      </c>
      <c r="F22" s="46">
        <f t="shared" si="0"/>
        <v>76.196594924510123</v>
      </c>
      <c r="G22" s="45">
        <f>62311+11720</f>
        <v>74031</v>
      </c>
      <c r="H22" s="46">
        <f t="shared" si="1"/>
        <v>74.316374879537435</v>
      </c>
      <c r="I22" s="45">
        <f>60231+9545</f>
        <v>69776</v>
      </c>
      <c r="J22" s="46">
        <f t="shared" si="2"/>
        <v>94.252407775121227</v>
      </c>
      <c r="K22" s="45">
        <f>6194+58</f>
        <v>6252</v>
      </c>
      <c r="L22" s="46">
        <f t="shared" si="10"/>
        <v>6.2761002248634759</v>
      </c>
      <c r="M22" s="45">
        <f>6194+58</f>
        <v>6252</v>
      </c>
      <c r="N22" s="46">
        <f t="shared" si="11"/>
        <v>6.2761002248634759</v>
      </c>
      <c r="O22" s="45">
        <f>5580+50</f>
        <v>5630</v>
      </c>
      <c r="P22" s="46">
        <f t="shared" si="12"/>
        <v>90.051183621241208</v>
      </c>
      <c r="Q22" s="47">
        <v>16645</v>
      </c>
      <c r="R22" s="48">
        <v>210</v>
      </c>
      <c r="S22" s="47">
        <f t="shared" si="3"/>
        <v>16855</v>
      </c>
      <c r="T22" s="49">
        <f t="shared" si="4"/>
        <v>92261</v>
      </c>
      <c r="U22" s="50">
        <f t="shared" si="5"/>
        <v>92.616647928043676</v>
      </c>
      <c r="V22" s="7">
        <f t="shared" si="6"/>
        <v>605</v>
      </c>
    </row>
    <row r="23" spans="1:28" ht="11.25" customHeight="1">
      <c r="A23" s="1">
        <v>9</v>
      </c>
      <c r="C23" s="31" t="s">
        <v>30</v>
      </c>
      <c r="D23" s="44">
        <v>61358</v>
      </c>
      <c r="E23" s="45">
        <v>56404</v>
      </c>
      <c r="F23" s="46">
        <f t="shared" si="0"/>
        <v>91.926073209687402</v>
      </c>
      <c r="G23" s="45">
        <v>56321</v>
      </c>
      <c r="H23" s="46">
        <f t="shared" si="1"/>
        <v>91.790801525473455</v>
      </c>
      <c r="I23" s="45">
        <v>49444</v>
      </c>
      <c r="J23" s="46">
        <f t="shared" si="2"/>
        <v>87.789634417002532</v>
      </c>
      <c r="K23" s="45">
        <v>4791</v>
      </c>
      <c r="L23" s="46">
        <f t="shared" si="10"/>
        <v>7.8082727598683137</v>
      </c>
      <c r="M23" s="45">
        <v>4791</v>
      </c>
      <c r="N23" s="46">
        <f t="shared" si="11"/>
        <v>7.8082727598683137</v>
      </c>
      <c r="O23" s="45">
        <v>4544</v>
      </c>
      <c r="P23" s="46">
        <f t="shared" si="12"/>
        <v>94.844500104362353</v>
      </c>
      <c r="Q23" s="47">
        <v>140</v>
      </c>
      <c r="R23" s="48">
        <v>0</v>
      </c>
      <c r="S23" s="47">
        <f t="shared" si="3"/>
        <v>140</v>
      </c>
      <c r="T23" s="49">
        <f t="shared" si="4"/>
        <v>54128</v>
      </c>
      <c r="U23" s="50">
        <f t="shared" si="5"/>
        <v>88.216695459434789</v>
      </c>
      <c r="V23" s="7">
        <f t="shared" si="6"/>
        <v>23</v>
      </c>
    </row>
    <row r="24" spans="1:28" ht="11.25" customHeight="1">
      <c r="A24" s="1">
        <v>2</v>
      </c>
      <c r="C24" s="31" t="s">
        <v>31</v>
      </c>
      <c r="D24" s="44">
        <v>30716</v>
      </c>
      <c r="E24" s="45">
        <f>17528+1561</f>
        <v>19089</v>
      </c>
      <c r="F24" s="46">
        <f t="shared" si="0"/>
        <v>62.146763901549683</v>
      </c>
      <c r="G24" s="45">
        <f>17500+1561</f>
        <v>19061</v>
      </c>
      <c r="H24" s="46">
        <f t="shared" si="1"/>
        <v>62.055606198723787</v>
      </c>
      <c r="I24" s="45">
        <f>16449+1332</f>
        <v>17781</v>
      </c>
      <c r="J24" s="46">
        <f t="shared" si="2"/>
        <v>93.284717485966112</v>
      </c>
      <c r="K24" s="45">
        <v>8720</v>
      </c>
      <c r="L24" s="46">
        <f t="shared" si="10"/>
        <v>28.389113165776791</v>
      </c>
      <c r="M24" s="45">
        <v>8720</v>
      </c>
      <c r="N24" s="46">
        <f t="shared" si="11"/>
        <v>28.389113165776791</v>
      </c>
      <c r="O24" s="45">
        <v>8061</v>
      </c>
      <c r="P24" s="46">
        <f t="shared" si="12"/>
        <v>92.442660550458712</v>
      </c>
      <c r="Q24" s="47">
        <v>1978</v>
      </c>
      <c r="R24" s="48">
        <v>459</v>
      </c>
      <c r="S24" s="47">
        <f t="shared" si="3"/>
        <v>2437</v>
      </c>
      <c r="T24" s="49">
        <f t="shared" si="4"/>
        <v>28279</v>
      </c>
      <c r="U24" s="50">
        <f t="shared" si="5"/>
        <v>92.066024221903902</v>
      </c>
      <c r="V24" s="7">
        <f t="shared" si="6"/>
        <v>470</v>
      </c>
      <c r="W24" s="8"/>
      <c r="X24" s="8"/>
      <c r="Y24" s="8"/>
      <c r="Z24" s="8"/>
      <c r="AA24" s="8"/>
      <c r="AB24" s="8"/>
    </row>
    <row r="25" spans="1:28" ht="11.25" customHeight="1">
      <c r="A25" s="1">
        <v>7</v>
      </c>
      <c r="C25" s="31" t="s">
        <v>87</v>
      </c>
      <c r="D25" s="44">
        <v>98255</v>
      </c>
      <c r="E25" s="45">
        <f>81818+11538</f>
        <v>93356</v>
      </c>
      <c r="F25" s="46">
        <f t="shared" si="0"/>
        <v>95.013994198768515</v>
      </c>
      <c r="G25" s="45">
        <f>79805+7983</f>
        <v>87788</v>
      </c>
      <c r="H25" s="46">
        <f t="shared" si="1"/>
        <v>89.34710701745459</v>
      </c>
      <c r="I25" s="45">
        <f>65988+4735</f>
        <v>70723</v>
      </c>
      <c r="J25" s="46">
        <f t="shared" si="2"/>
        <v>80.561124527270238</v>
      </c>
      <c r="K25" s="45">
        <v>2946</v>
      </c>
      <c r="L25" s="46">
        <f t="shared" si="10"/>
        <v>2.9983206961477786</v>
      </c>
      <c r="M25" s="45">
        <v>2946</v>
      </c>
      <c r="N25" s="46">
        <f t="shared" si="11"/>
        <v>2.9983206961477786</v>
      </c>
      <c r="O25" s="45">
        <v>2781</v>
      </c>
      <c r="P25" s="46">
        <f t="shared" si="12"/>
        <v>94.399185336048888</v>
      </c>
      <c r="Q25" s="47">
        <v>1664</v>
      </c>
      <c r="R25" s="48">
        <v>0</v>
      </c>
      <c r="S25" s="47">
        <f t="shared" si="3"/>
        <v>1664</v>
      </c>
      <c r="T25" s="49">
        <f t="shared" si="4"/>
        <v>75168</v>
      </c>
      <c r="U25" s="50">
        <f t="shared" si="5"/>
        <v>76.502976947738034</v>
      </c>
      <c r="V25" s="7">
        <f t="shared" si="6"/>
        <v>289</v>
      </c>
      <c r="W25" s="8"/>
      <c r="X25" s="8"/>
      <c r="Y25" s="8"/>
      <c r="Z25" s="8"/>
      <c r="AA25" s="8"/>
      <c r="AB25" s="8"/>
    </row>
    <row r="26" spans="1:28" ht="11.25" customHeight="1">
      <c r="A26" s="1">
        <v>1</v>
      </c>
      <c r="C26" s="31" t="s">
        <v>32</v>
      </c>
      <c r="D26" s="44">
        <v>4840</v>
      </c>
      <c r="E26" s="45">
        <v>3030</v>
      </c>
      <c r="F26" s="46">
        <f t="shared" si="0"/>
        <v>62.603305785123965</v>
      </c>
      <c r="G26" s="45">
        <v>3030</v>
      </c>
      <c r="H26" s="46">
        <f t="shared" si="1"/>
        <v>62.603305785123965</v>
      </c>
      <c r="I26" s="45">
        <v>2213</v>
      </c>
      <c r="J26" s="46">
        <f t="shared" si="2"/>
        <v>73.036303630363037</v>
      </c>
      <c r="K26" s="45">
        <v>540</v>
      </c>
      <c r="L26" s="46">
        <f t="shared" si="10"/>
        <v>11.15702479338843</v>
      </c>
      <c r="M26" s="45">
        <v>540</v>
      </c>
      <c r="N26" s="46">
        <f t="shared" si="11"/>
        <v>11.15702479338843</v>
      </c>
      <c r="O26" s="45">
        <v>540</v>
      </c>
      <c r="P26" s="46">
        <f t="shared" si="12"/>
        <v>100</v>
      </c>
      <c r="Q26" s="47">
        <v>1114</v>
      </c>
      <c r="R26" s="48">
        <v>0</v>
      </c>
      <c r="S26" s="47">
        <f t="shared" si="3"/>
        <v>1114</v>
      </c>
      <c r="T26" s="49">
        <f t="shared" si="4"/>
        <v>3867</v>
      </c>
      <c r="U26" s="50">
        <f t="shared" si="5"/>
        <v>79.896694214876035</v>
      </c>
      <c r="V26" s="7">
        <f t="shared" si="6"/>
        <v>156</v>
      </c>
    </row>
    <row r="27" spans="1:28" ht="11.25" customHeight="1">
      <c r="A27" s="1">
        <v>1</v>
      </c>
      <c r="C27" s="31" t="s">
        <v>33</v>
      </c>
      <c r="D27" s="44">
        <v>4058</v>
      </c>
      <c r="E27" s="45">
        <v>1967</v>
      </c>
      <c r="F27" s="46">
        <f t="shared" si="0"/>
        <v>48.472153770330209</v>
      </c>
      <c r="G27" s="45">
        <v>1967</v>
      </c>
      <c r="H27" s="46">
        <f t="shared" si="1"/>
        <v>48.472153770330209</v>
      </c>
      <c r="I27" s="45">
        <v>1330</v>
      </c>
      <c r="J27" s="46">
        <f t="shared" si="2"/>
        <v>67.615658362989322</v>
      </c>
      <c r="K27" s="45">
        <v>2031</v>
      </c>
      <c r="L27" s="46">
        <f t="shared" si="10"/>
        <v>50.04928536224741</v>
      </c>
      <c r="M27" s="45">
        <v>2031</v>
      </c>
      <c r="N27" s="46">
        <f t="shared" si="11"/>
        <v>50.04928536224741</v>
      </c>
      <c r="O27" s="45">
        <v>1382</v>
      </c>
      <c r="P27" s="46">
        <f t="shared" si="12"/>
        <v>68.045297882816342</v>
      </c>
      <c r="Q27" s="47">
        <v>55</v>
      </c>
      <c r="R27" s="48">
        <v>0</v>
      </c>
      <c r="S27" s="47">
        <f t="shared" si="3"/>
        <v>55</v>
      </c>
      <c r="T27" s="49">
        <f t="shared" si="4"/>
        <v>2767</v>
      </c>
      <c r="U27" s="50">
        <f t="shared" si="5"/>
        <v>68.186298669295226</v>
      </c>
      <c r="V27" s="7">
        <f t="shared" si="6"/>
        <v>5</v>
      </c>
    </row>
    <row r="28" spans="1:28" ht="11.25" customHeight="1">
      <c r="A28" s="1">
        <v>1</v>
      </c>
      <c r="C28" s="31" t="s">
        <v>34</v>
      </c>
      <c r="D28" s="44">
        <v>3235</v>
      </c>
      <c r="E28" s="45">
        <v>760</v>
      </c>
      <c r="F28" s="46">
        <f t="shared" si="0"/>
        <v>23.493044822256568</v>
      </c>
      <c r="G28" s="45">
        <v>760</v>
      </c>
      <c r="H28" s="46">
        <f t="shared" si="1"/>
        <v>23.493044822256568</v>
      </c>
      <c r="I28" s="45">
        <v>760</v>
      </c>
      <c r="J28" s="46">
        <f t="shared" si="2"/>
        <v>100</v>
      </c>
      <c r="K28" s="45">
        <v>241</v>
      </c>
      <c r="L28" s="46">
        <f t="shared" si="10"/>
        <v>7.4497681607418862</v>
      </c>
      <c r="M28" s="45">
        <v>241</v>
      </c>
      <c r="N28" s="46">
        <f t="shared" si="11"/>
        <v>7.4497681607418862</v>
      </c>
      <c r="O28" s="45">
        <v>241</v>
      </c>
      <c r="P28" s="46">
        <f t="shared" si="12"/>
        <v>100</v>
      </c>
      <c r="Q28" s="47">
        <v>2113</v>
      </c>
      <c r="R28" s="48">
        <v>65</v>
      </c>
      <c r="S28" s="47">
        <f t="shared" si="3"/>
        <v>2178</v>
      </c>
      <c r="T28" s="49">
        <f t="shared" si="4"/>
        <v>3179</v>
      </c>
      <c r="U28" s="50">
        <f t="shared" si="5"/>
        <v>98.268933539412672</v>
      </c>
      <c r="V28" s="7">
        <f t="shared" si="6"/>
        <v>56</v>
      </c>
    </row>
    <row r="29" spans="1:28" ht="11.25" customHeight="1">
      <c r="A29" s="1">
        <v>1</v>
      </c>
      <c r="C29" s="31" t="s">
        <v>35</v>
      </c>
      <c r="D29" s="44">
        <v>1065</v>
      </c>
      <c r="E29" s="53"/>
      <c r="F29" s="54"/>
      <c r="G29" s="53"/>
      <c r="H29" s="54"/>
      <c r="I29" s="53"/>
      <c r="J29" s="54"/>
      <c r="K29" s="51"/>
      <c r="L29" s="52"/>
      <c r="M29" s="51"/>
      <c r="N29" s="52"/>
      <c r="O29" s="51"/>
      <c r="P29" s="52"/>
      <c r="Q29" s="47">
        <v>976</v>
      </c>
      <c r="R29" s="48">
        <v>0</v>
      </c>
      <c r="S29" s="47">
        <f t="shared" si="3"/>
        <v>976</v>
      </c>
      <c r="T29" s="49">
        <f t="shared" si="4"/>
        <v>976</v>
      </c>
      <c r="U29" s="50">
        <f t="shared" si="5"/>
        <v>91.643192488262912</v>
      </c>
      <c r="V29" s="7">
        <f t="shared" si="6"/>
        <v>89</v>
      </c>
    </row>
    <row r="30" spans="1:28" ht="11.25" customHeight="1">
      <c r="A30" s="1">
        <v>1</v>
      </c>
      <c r="C30" s="31" t="s">
        <v>36</v>
      </c>
      <c r="D30" s="44">
        <v>778</v>
      </c>
      <c r="E30" s="53"/>
      <c r="F30" s="54"/>
      <c r="G30" s="53"/>
      <c r="H30" s="54"/>
      <c r="I30" s="53"/>
      <c r="J30" s="54"/>
      <c r="K30" s="51"/>
      <c r="L30" s="52"/>
      <c r="M30" s="51"/>
      <c r="N30" s="52"/>
      <c r="O30" s="51"/>
      <c r="P30" s="52"/>
      <c r="Q30" s="47">
        <v>617</v>
      </c>
      <c r="R30" s="48">
        <v>0</v>
      </c>
      <c r="S30" s="47">
        <f t="shared" si="3"/>
        <v>617</v>
      </c>
      <c r="T30" s="49">
        <f t="shared" si="4"/>
        <v>617</v>
      </c>
      <c r="U30" s="50">
        <f t="shared" si="5"/>
        <v>79.305912596401029</v>
      </c>
      <c r="V30" s="7">
        <f t="shared" si="6"/>
        <v>161</v>
      </c>
    </row>
    <row r="31" spans="1:28" ht="11.25" customHeight="1">
      <c r="A31" s="1">
        <v>1</v>
      </c>
      <c r="C31" s="31" t="s">
        <v>37</v>
      </c>
      <c r="D31" s="44">
        <v>11752</v>
      </c>
      <c r="E31" s="45">
        <v>9637</v>
      </c>
      <c r="F31" s="46">
        <f t="shared" ref="F31:F47" si="13">E31/D31*100</f>
        <v>82.003063308373044</v>
      </c>
      <c r="G31" s="45">
        <v>9637</v>
      </c>
      <c r="H31" s="46">
        <f t="shared" ref="H31:H47" si="14">G31/$D31*100</f>
        <v>82.003063308373044</v>
      </c>
      <c r="I31" s="45">
        <v>7447</v>
      </c>
      <c r="J31" s="46">
        <f t="shared" ref="J31:J47" si="15">I31/$G31*100</f>
        <v>77.275085607554217</v>
      </c>
      <c r="K31" s="45">
        <v>1263</v>
      </c>
      <c r="L31" s="46">
        <f>K31/$D31*100</f>
        <v>10.747106875425459</v>
      </c>
      <c r="M31" s="45">
        <v>1263</v>
      </c>
      <c r="N31" s="46">
        <f>M31/$D31*100</f>
        <v>10.747106875425459</v>
      </c>
      <c r="O31" s="45">
        <v>968</v>
      </c>
      <c r="P31" s="46">
        <f>O31/$M31*100</f>
        <v>76.642913697545524</v>
      </c>
      <c r="Q31" s="47">
        <v>454</v>
      </c>
      <c r="R31" s="48">
        <v>0</v>
      </c>
      <c r="S31" s="47">
        <f t="shared" si="3"/>
        <v>454</v>
      </c>
      <c r="T31" s="49">
        <f t="shared" si="4"/>
        <v>8869</v>
      </c>
      <c r="U31" s="50">
        <f t="shared" si="5"/>
        <v>75.468005445881545</v>
      </c>
      <c r="V31" s="7">
        <f t="shared" si="6"/>
        <v>398</v>
      </c>
    </row>
    <row r="32" spans="1:28" ht="11.25" customHeight="1">
      <c r="A32" s="1">
        <v>1</v>
      </c>
      <c r="C32" s="31" t="s">
        <v>38</v>
      </c>
      <c r="D32" s="44">
        <v>20119</v>
      </c>
      <c r="E32" s="45">
        <v>11998</v>
      </c>
      <c r="F32" s="46">
        <f t="shared" si="13"/>
        <v>59.635170734131918</v>
      </c>
      <c r="G32" s="45">
        <v>9927</v>
      </c>
      <c r="H32" s="46">
        <f t="shared" si="14"/>
        <v>49.341418559570556</v>
      </c>
      <c r="I32" s="45">
        <v>8765</v>
      </c>
      <c r="J32" s="46">
        <f t="shared" si="15"/>
        <v>88.294550216581044</v>
      </c>
      <c r="K32" s="45">
        <v>627</v>
      </c>
      <c r="L32" s="46">
        <f>K32/$D32*100</f>
        <v>3.1164570803717879</v>
      </c>
      <c r="M32" s="45">
        <v>627</v>
      </c>
      <c r="N32" s="46">
        <f>M32/$D32*100</f>
        <v>3.1164570803717879</v>
      </c>
      <c r="O32" s="45">
        <v>607</v>
      </c>
      <c r="P32" s="46">
        <f>O32/$M32*100</f>
        <v>96.810207336523121</v>
      </c>
      <c r="Q32" s="47">
        <v>5474</v>
      </c>
      <c r="R32" s="48">
        <v>0</v>
      </c>
      <c r="S32" s="47">
        <f t="shared" si="3"/>
        <v>5474</v>
      </c>
      <c r="T32" s="49">
        <f t="shared" si="4"/>
        <v>14846</v>
      </c>
      <c r="U32" s="50">
        <f t="shared" si="5"/>
        <v>73.790943883890847</v>
      </c>
      <c r="V32" s="7">
        <f t="shared" si="6"/>
        <v>2020</v>
      </c>
    </row>
    <row r="33" spans="1:28" ht="11.25" customHeight="1">
      <c r="A33" s="1">
        <v>1</v>
      </c>
      <c r="C33" s="31" t="s">
        <v>39</v>
      </c>
      <c r="D33" s="44">
        <v>15526</v>
      </c>
      <c r="E33" s="45">
        <f>12981+1026</f>
        <v>14007</v>
      </c>
      <c r="F33" s="46">
        <f t="shared" si="13"/>
        <v>90.216411181244354</v>
      </c>
      <c r="G33" s="45">
        <f>12019+1026</f>
        <v>13045</v>
      </c>
      <c r="H33" s="46">
        <f t="shared" si="14"/>
        <v>84.020352956331308</v>
      </c>
      <c r="I33" s="45">
        <f>11282+812</f>
        <v>12094</v>
      </c>
      <c r="J33" s="46">
        <f t="shared" si="15"/>
        <v>92.709850517439634</v>
      </c>
      <c r="K33" s="45">
        <v>533</v>
      </c>
      <c r="L33" s="46">
        <f>K33/$D33*100</f>
        <v>3.4329511786680409</v>
      </c>
      <c r="M33" s="45">
        <v>533</v>
      </c>
      <c r="N33" s="46">
        <f>M33/$D33*100</f>
        <v>3.4329511786680409</v>
      </c>
      <c r="O33" s="45">
        <v>509</v>
      </c>
      <c r="P33" s="46">
        <f>O33/$M33*100</f>
        <v>95.497185741088174</v>
      </c>
      <c r="Q33" s="47">
        <v>936</v>
      </c>
      <c r="R33" s="48">
        <v>0</v>
      </c>
      <c r="S33" s="47">
        <f t="shared" si="3"/>
        <v>936</v>
      </c>
      <c r="T33" s="49">
        <f t="shared" si="4"/>
        <v>13539</v>
      </c>
      <c r="U33" s="50">
        <f t="shared" si="5"/>
        <v>87.202112585340714</v>
      </c>
      <c r="V33" s="7">
        <f t="shared" si="6"/>
        <v>50</v>
      </c>
    </row>
    <row r="34" spans="1:28" ht="11.25" customHeight="1">
      <c r="A34" s="1">
        <v>1</v>
      </c>
      <c r="C34" s="31" t="s">
        <v>40</v>
      </c>
      <c r="D34" s="44">
        <v>7557</v>
      </c>
      <c r="E34" s="45">
        <v>3487</v>
      </c>
      <c r="F34" s="46">
        <f t="shared" si="13"/>
        <v>46.142649199417754</v>
      </c>
      <c r="G34" s="45">
        <v>3487</v>
      </c>
      <c r="H34" s="46">
        <f t="shared" si="14"/>
        <v>46.142649199417754</v>
      </c>
      <c r="I34" s="45">
        <v>3116</v>
      </c>
      <c r="J34" s="46">
        <f t="shared" si="15"/>
        <v>89.360481789503879</v>
      </c>
      <c r="K34" s="45">
        <v>3371</v>
      </c>
      <c r="L34" s="46">
        <f>K34/$D34*100</f>
        <v>44.607648537779539</v>
      </c>
      <c r="M34" s="45">
        <v>3371</v>
      </c>
      <c r="N34" s="46">
        <f>M34/$D34*100</f>
        <v>44.607648537779539</v>
      </c>
      <c r="O34" s="45">
        <v>3191</v>
      </c>
      <c r="P34" s="46">
        <f>O34/$M34*100</f>
        <v>94.660338178582023</v>
      </c>
      <c r="Q34" s="47">
        <v>326</v>
      </c>
      <c r="R34" s="48">
        <v>220</v>
      </c>
      <c r="S34" s="47">
        <f t="shared" si="3"/>
        <v>546</v>
      </c>
      <c r="T34" s="49">
        <f t="shared" si="4"/>
        <v>6853</v>
      </c>
      <c r="U34" s="50">
        <f t="shared" si="5"/>
        <v>90.684133915574961</v>
      </c>
      <c r="V34" s="7">
        <f t="shared" si="6"/>
        <v>153</v>
      </c>
    </row>
    <row r="35" spans="1:28" ht="11.25" customHeight="1">
      <c r="A35" s="1">
        <v>2</v>
      </c>
      <c r="C35" s="31" t="s">
        <v>41</v>
      </c>
      <c r="D35" s="44">
        <v>4553</v>
      </c>
      <c r="E35" s="45">
        <v>4093</v>
      </c>
      <c r="F35" s="46">
        <f t="shared" si="13"/>
        <v>89.896771359543166</v>
      </c>
      <c r="G35" s="45">
        <v>4093</v>
      </c>
      <c r="H35" s="46">
        <f t="shared" si="14"/>
        <v>89.896771359543166</v>
      </c>
      <c r="I35" s="45">
        <v>3823</v>
      </c>
      <c r="J35" s="46">
        <f t="shared" si="15"/>
        <v>93.40337161006596</v>
      </c>
      <c r="K35" s="51"/>
      <c r="L35" s="52"/>
      <c r="M35" s="51"/>
      <c r="N35" s="52"/>
      <c r="O35" s="51"/>
      <c r="P35" s="52"/>
      <c r="Q35" s="47">
        <v>311</v>
      </c>
      <c r="R35" s="48">
        <v>0</v>
      </c>
      <c r="S35" s="47">
        <f t="shared" si="3"/>
        <v>311</v>
      </c>
      <c r="T35" s="49">
        <f t="shared" si="4"/>
        <v>4134</v>
      </c>
      <c r="U35" s="50">
        <f t="shared" si="5"/>
        <v>90.797276520975174</v>
      </c>
      <c r="V35" s="7">
        <f t="shared" si="6"/>
        <v>149</v>
      </c>
      <c r="W35" s="8"/>
      <c r="X35" s="8"/>
      <c r="Y35" s="8"/>
      <c r="Z35" s="8"/>
      <c r="AA35" s="8"/>
      <c r="AB35" s="8"/>
    </row>
    <row r="36" spans="1:28" ht="11.25" customHeight="1">
      <c r="A36" s="1">
        <v>2</v>
      </c>
      <c r="C36" s="31" t="s">
        <v>88</v>
      </c>
      <c r="D36" s="44">
        <v>6405</v>
      </c>
      <c r="E36" s="45">
        <v>5700</v>
      </c>
      <c r="F36" s="46">
        <f t="shared" si="13"/>
        <v>88.992974238875874</v>
      </c>
      <c r="G36" s="45">
        <v>5700</v>
      </c>
      <c r="H36" s="46">
        <f t="shared" si="14"/>
        <v>88.992974238875874</v>
      </c>
      <c r="I36" s="45">
        <v>5485</v>
      </c>
      <c r="J36" s="46">
        <f t="shared" si="15"/>
        <v>96.228070175438603</v>
      </c>
      <c r="K36" s="45">
        <v>68</v>
      </c>
      <c r="L36" s="46">
        <f>K36/$D36*100</f>
        <v>1.0616705698672912</v>
      </c>
      <c r="M36" s="45">
        <v>68</v>
      </c>
      <c r="N36" s="46">
        <f>M36/$D36*100</f>
        <v>1.0616705698672912</v>
      </c>
      <c r="O36" s="45">
        <v>68</v>
      </c>
      <c r="P36" s="46">
        <f>O36/$M36*100</f>
        <v>100</v>
      </c>
      <c r="Q36" s="47">
        <v>403</v>
      </c>
      <c r="R36" s="48">
        <v>0</v>
      </c>
      <c r="S36" s="47">
        <f t="shared" si="3"/>
        <v>403</v>
      </c>
      <c r="T36" s="49">
        <f t="shared" si="4"/>
        <v>5956</v>
      </c>
      <c r="U36" s="50">
        <f t="shared" si="5"/>
        <v>92.989851678376269</v>
      </c>
      <c r="V36" s="7">
        <f t="shared" si="6"/>
        <v>234</v>
      </c>
      <c r="W36" s="8"/>
      <c r="X36" s="8"/>
      <c r="Y36" s="8"/>
      <c r="Z36" s="8"/>
      <c r="AA36" s="8"/>
      <c r="AB36" s="8"/>
    </row>
    <row r="37" spans="1:28" ht="11.25" customHeight="1">
      <c r="A37" s="1">
        <v>3</v>
      </c>
      <c r="C37" s="31" t="s">
        <v>42</v>
      </c>
      <c r="D37" s="44">
        <v>20828</v>
      </c>
      <c r="E37" s="45">
        <v>20813</v>
      </c>
      <c r="F37" s="46">
        <f t="shared" si="13"/>
        <v>99.927981563280198</v>
      </c>
      <c r="G37" s="45">
        <v>20813</v>
      </c>
      <c r="H37" s="46">
        <f t="shared" si="14"/>
        <v>99.927981563280198</v>
      </c>
      <c r="I37" s="45">
        <v>20137</v>
      </c>
      <c r="J37" s="46">
        <f t="shared" si="15"/>
        <v>96.752029981261714</v>
      </c>
      <c r="K37" s="51"/>
      <c r="L37" s="52"/>
      <c r="M37" s="51"/>
      <c r="N37" s="52"/>
      <c r="O37" s="51"/>
      <c r="P37" s="52"/>
      <c r="Q37" s="47">
        <v>0</v>
      </c>
      <c r="R37" s="48">
        <v>0</v>
      </c>
      <c r="S37" s="47">
        <f t="shared" si="3"/>
        <v>0</v>
      </c>
      <c r="T37" s="49">
        <f t="shared" si="4"/>
        <v>20137</v>
      </c>
      <c r="U37" s="50">
        <f t="shared" si="5"/>
        <v>96.682350681774537</v>
      </c>
      <c r="V37" s="7">
        <f t="shared" si="6"/>
        <v>15</v>
      </c>
    </row>
    <row r="38" spans="1:28" ht="11.25" customHeight="1">
      <c r="A38" s="1">
        <v>3</v>
      </c>
      <c r="C38" s="31" t="s">
        <v>43</v>
      </c>
      <c r="D38" s="44">
        <v>14987</v>
      </c>
      <c r="E38" s="45">
        <v>11518</v>
      </c>
      <c r="F38" s="46">
        <f t="shared" si="13"/>
        <v>76.85327283645826</v>
      </c>
      <c r="G38" s="45">
        <v>10782</v>
      </c>
      <c r="H38" s="46">
        <f t="shared" si="14"/>
        <v>71.942350036698471</v>
      </c>
      <c r="I38" s="45">
        <v>9769</v>
      </c>
      <c r="J38" s="46">
        <f t="shared" si="15"/>
        <v>90.604711556297531</v>
      </c>
      <c r="K38" s="45">
        <v>3107</v>
      </c>
      <c r="L38" s="46">
        <f>K38/$D38*100</f>
        <v>20.731300460399012</v>
      </c>
      <c r="M38" s="45">
        <v>3107</v>
      </c>
      <c r="N38" s="46">
        <f>M38/$D38*100</f>
        <v>20.731300460399012</v>
      </c>
      <c r="O38" s="45">
        <v>2644</v>
      </c>
      <c r="P38" s="46">
        <f>O38/$M38*100</f>
        <v>85.098165432893467</v>
      </c>
      <c r="Q38" s="47">
        <v>232</v>
      </c>
      <c r="R38" s="48">
        <v>0</v>
      </c>
      <c r="S38" s="47">
        <f t="shared" si="3"/>
        <v>232</v>
      </c>
      <c r="T38" s="49">
        <f t="shared" si="4"/>
        <v>12645</v>
      </c>
      <c r="U38" s="50">
        <f t="shared" si="5"/>
        <v>84.373123373590445</v>
      </c>
      <c r="V38" s="7">
        <f t="shared" si="6"/>
        <v>130</v>
      </c>
    </row>
    <row r="39" spans="1:28" ht="11.25" customHeight="1">
      <c r="A39" s="1">
        <v>3</v>
      </c>
      <c r="C39" s="31" t="s">
        <v>44</v>
      </c>
      <c r="D39" s="44">
        <v>7444</v>
      </c>
      <c r="E39" s="45">
        <v>6330</v>
      </c>
      <c r="F39" s="46">
        <f t="shared" si="13"/>
        <v>85.034927458355725</v>
      </c>
      <c r="G39" s="45">
        <v>6330</v>
      </c>
      <c r="H39" s="46">
        <f t="shared" si="14"/>
        <v>85.034927458355725</v>
      </c>
      <c r="I39" s="45">
        <v>6140</v>
      </c>
      <c r="J39" s="46">
        <f t="shared" si="15"/>
        <v>96.998420221169042</v>
      </c>
      <c r="K39" s="51"/>
      <c r="L39" s="52"/>
      <c r="M39" s="51"/>
      <c r="N39" s="52"/>
      <c r="O39" s="51"/>
      <c r="P39" s="52"/>
      <c r="Q39" s="47">
        <v>1069</v>
      </c>
      <c r="R39" s="48">
        <v>0</v>
      </c>
      <c r="S39" s="47">
        <f t="shared" si="3"/>
        <v>1069</v>
      </c>
      <c r="T39" s="49">
        <f t="shared" ref="T39:T70" si="16">S39+O39+I39</f>
        <v>7209</v>
      </c>
      <c r="U39" s="50">
        <f t="shared" ref="U39:U70" si="17">T39/D39*100</f>
        <v>96.843095110155829</v>
      </c>
      <c r="V39" s="7">
        <f t="shared" ref="V39:V70" si="18">+D39-E39-K39-S39</f>
        <v>45</v>
      </c>
    </row>
    <row r="40" spans="1:28" ht="11.25" customHeight="1">
      <c r="A40" s="1">
        <v>4</v>
      </c>
      <c r="C40" s="31" t="s">
        <v>45</v>
      </c>
      <c r="D40" s="44">
        <v>20237</v>
      </c>
      <c r="E40" s="45">
        <f>16134+1770</f>
        <v>17904</v>
      </c>
      <c r="F40" s="46">
        <f t="shared" si="13"/>
        <v>88.471611404852496</v>
      </c>
      <c r="G40" s="45">
        <f>16049+1770</f>
        <v>17819</v>
      </c>
      <c r="H40" s="46">
        <f t="shared" si="14"/>
        <v>88.051588674210606</v>
      </c>
      <c r="I40" s="45">
        <f>14901+1638</f>
        <v>16539</v>
      </c>
      <c r="J40" s="46">
        <f t="shared" si="15"/>
        <v>92.816656378023453</v>
      </c>
      <c r="K40" s="45">
        <v>1699</v>
      </c>
      <c r="L40" s="46">
        <f t="shared" ref="L40:L51" si="19">K40/$D40*100</f>
        <v>8.3955131689479678</v>
      </c>
      <c r="M40" s="45">
        <v>1699</v>
      </c>
      <c r="N40" s="46">
        <f t="shared" ref="N40:N51" si="20">M40/$D40*100</f>
        <v>8.3955131689479678</v>
      </c>
      <c r="O40" s="45">
        <v>1622</v>
      </c>
      <c r="P40" s="46">
        <f t="shared" ref="P40:P51" si="21">O40/$M40*100</f>
        <v>95.467922307239547</v>
      </c>
      <c r="Q40" s="47">
        <v>470</v>
      </c>
      <c r="R40" s="48">
        <v>0</v>
      </c>
      <c r="S40" s="47">
        <f t="shared" si="3"/>
        <v>470</v>
      </c>
      <c r="T40" s="49">
        <f t="shared" si="16"/>
        <v>18631</v>
      </c>
      <c r="U40" s="50">
        <f t="shared" si="17"/>
        <v>92.064041112813172</v>
      </c>
      <c r="V40" s="7">
        <f t="shared" si="18"/>
        <v>164</v>
      </c>
      <c r="W40" s="8"/>
      <c r="X40" s="8"/>
      <c r="Y40" s="8"/>
      <c r="Z40" s="8"/>
    </row>
    <row r="41" spans="1:28" ht="11.25" customHeight="1">
      <c r="A41" s="1">
        <v>4</v>
      </c>
      <c r="C41" s="31" t="s">
        <v>46</v>
      </c>
      <c r="D41" s="44">
        <v>24998</v>
      </c>
      <c r="E41" s="45">
        <f>11624+6948</f>
        <v>18572</v>
      </c>
      <c r="F41" s="46">
        <f t="shared" si="13"/>
        <v>74.293943515481246</v>
      </c>
      <c r="G41" s="45">
        <f>11577+6745</f>
        <v>18322</v>
      </c>
      <c r="H41" s="46">
        <f t="shared" si="14"/>
        <v>73.293863509080722</v>
      </c>
      <c r="I41" s="45">
        <f>9414+5145</f>
        <v>14559</v>
      </c>
      <c r="J41" s="46">
        <f t="shared" si="15"/>
        <v>79.461849143106647</v>
      </c>
      <c r="K41" s="45">
        <v>6192</v>
      </c>
      <c r="L41" s="46">
        <f t="shared" si="19"/>
        <v>24.769981598527881</v>
      </c>
      <c r="M41" s="45">
        <v>6192</v>
      </c>
      <c r="N41" s="46">
        <f t="shared" si="20"/>
        <v>24.769981598527881</v>
      </c>
      <c r="O41" s="45">
        <v>5138</v>
      </c>
      <c r="P41" s="46">
        <f t="shared" si="21"/>
        <v>82.978036175710585</v>
      </c>
      <c r="Q41" s="47">
        <v>155</v>
      </c>
      <c r="R41" s="48">
        <v>0</v>
      </c>
      <c r="S41" s="47">
        <f t="shared" si="3"/>
        <v>155</v>
      </c>
      <c r="T41" s="49">
        <f t="shared" si="16"/>
        <v>19852</v>
      </c>
      <c r="U41" s="50">
        <f t="shared" si="17"/>
        <v>79.414353148251863</v>
      </c>
      <c r="V41" s="7">
        <f t="shared" si="18"/>
        <v>79</v>
      </c>
      <c r="W41" s="8"/>
      <c r="X41" s="8"/>
      <c r="Y41" s="8"/>
      <c r="Z41" s="8"/>
    </row>
    <row r="42" spans="1:28" ht="11.25" customHeight="1">
      <c r="A42" s="1">
        <v>4</v>
      </c>
      <c r="C42" s="31" t="s">
        <v>47</v>
      </c>
      <c r="D42" s="44">
        <v>9780</v>
      </c>
      <c r="E42" s="45">
        <v>5558</v>
      </c>
      <c r="F42" s="46">
        <f t="shared" si="13"/>
        <v>56.830265848670756</v>
      </c>
      <c r="G42" s="45">
        <v>5558</v>
      </c>
      <c r="H42" s="46">
        <f t="shared" si="14"/>
        <v>56.830265848670756</v>
      </c>
      <c r="I42" s="45">
        <v>3879</v>
      </c>
      <c r="J42" s="46">
        <f t="shared" si="15"/>
        <v>69.791291831594094</v>
      </c>
      <c r="K42" s="45">
        <v>1934</v>
      </c>
      <c r="L42" s="46">
        <f t="shared" si="19"/>
        <v>19.775051124744376</v>
      </c>
      <c r="M42" s="45">
        <v>1934</v>
      </c>
      <c r="N42" s="46">
        <f t="shared" si="20"/>
        <v>19.775051124744376</v>
      </c>
      <c r="O42" s="45">
        <v>1678</v>
      </c>
      <c r="P42" s="46">
        <f t="shared" si="21"/>
        <v>86.763185108583258</v>
      </c>
      <c r="Q42" s="47">
        <v>1921</v>
      </c>
      <c r="R42" s="48">
        <v>0</v>
      </c>
      <c r="S42" s="47">
        <f t="shared" si="3"/>
        <v>1921</v>
      </c>
      <c r="T42" s="49">
        <f t="shared" si="16"/>
        <v>7478</v>
      </c>
      <c r="U42" s="50">
        <f t="shared" si="17"/>
        <v>76.462167689161546</v>
      </c>
      <c r="V42" s="7">
        <f t="shared" si="18"/>
        <v>367</v>
      </c>
      <c r="W42" s="8"/>
      <c r="X42" s="8"/>
      <c r="Y42" s="8"/>
      <c r="Z42" s="8"/>
    </row>
    <row r="43" spans="1:28" ht="11.25" customHeight="1">
      <c r="A43" s="1">
        <v>4</v>
      </c>
      <c r="C43" s="31" t="s">
        <v>48</v>
      </c>
      <c r="D43" s="44">
        <v>15169</v>
      </c>
      <c r="E43" s="45">
        <v>14896</v>
      </c>
      <c r="F43" s="46">
        <f t="shared" si="13"/>
        <v>98.200276880479933</v>
      </c>
      <c r="G43" s="45">
        <v>14896</v>
      </c>
      <c r="H43" s="46">
        <f t="shared" si="14"/>
        <v>98.200276880479933</v>
      </c>
      <c r="I43" s="45">
        <v>12961</v>
      </c>
      <c r="J43" s="46">
        <f t="shared" si="15"/>
        <v>87.009935553168631</v>
      </c>
      <c r="K43" s="51"/>
      <c r="L43" s="52"/>
      <c r="M43" s="51"/>
      <c r="N43" s="52"/>
      <c r="O43" s="51"/>
      <c r="P43" s="52"/>
      <c r="Q43" s="47">
        <v>242</v>
      </c>
      <c r="R43" s="48">
        <v>0</v>
      </c>
      <c r="S43" s="47">
        <f t="shared" si="3"/>
        <v>242</v>
      </c>
      <c r="T43" s="49">
        <f t="shared" si="16"/>
        <v>13203</v>
      </c>
      <c r="U43" s="50">
        <f t="shared" si="17"/>
        <v>87.039356582503785</v>
      </c>
      <c r="V43" s="7">
        <f t="shared" si="18"/>
        <v>31</v>
      </c>
      <c r="W43" s="8"/>
      <c r="X43" s="8"/>
      <c r="Y43" s="8"/>
      <c r="Z43" s="8"/>
    </row>
    <row r="44" spans="1:28" ht="11.25" customHeight="1">
      <c r="A44" s="1">
        <v>4</v>
      </c>
      <c r="C44" s="31" t="s">
        <v>49</v>
      </c>
      <c r="D44" s="44">
        <v>5040</v>
      </c>
      <c r="E44" s="45">
        <v>2865</v>
      </c>
      <c r="F44" s="46">
        <f t="shared" si="13"/>
        <v>56.845238095238095</v>
      </c>
      <c r="G44" s="45">
        <v>2865</v>
      </c>
      <c r="H44" s="46">
        <f t="shared" si="14"/>
        <v>56.845238095238095</v>
      </c>
      <c r="I44" s="45">
        <v>2580</v>
      </c>
      <c r="J44" s="46">
        <f t="shared" si="15"/>
        <v>90.052356020942398</v>
      </c>
      <c r="K44" s="45">
        <f>1203+63</f>
        <v>1266</v>
      </c>
      <c r="L44" s="46">
        <f t="shared" si="19"/>
        <v>25.11904761904762</v>
      </c>
      <c r="M44" s="45">
        <f>1203+63</f>
        <v>1266</v>
      </c>
      <c r="N44" s="46">
        <f t="shared" si="20"/>
        <v>25.11904761904762</v>
      </c>
      <c r="O44" s="45">
        <f>1065+54</f>
        <v>1119</v>
      </c>
      <c r="P44" s="46">
        <f t="shared" si="21"/>
        <v>88.388625592417057</v>
      </c>
      <c r="Q44" s="47">
        <v>721</v>
      </c>
      <c r="R44" s="48">
        <v>0</v>
      </c>
      <c r="S44" s="47">
        <f t="shared" si="3"/>
        <v>721</v>
      </c>
      <c r="T44" s="49">
        <f t="shared" si="16"/>
        <v>4420</v>
      </c>
      <c r="U44" s="50">
        <f t="shared" si="17"/>
        <v>87.698412698412696</v>
      </c>
      <c r="V44" s="7">
        <f t="shared" si="18"/>
        <v>188</v>
      </c>
      <c r="W44" s="8"/>
      <c r="X44" s="8"/>
      <c r="Y44" s="8"/>
      <c r="Z44" s="8"/>
    </row>
    <row r="45" spans="1:28" ht="11.25" customHeight="1">
      <c r="A45" s="1">
        <v>4</v>
      </c>
      <c r="C45" s="31" t="s">
        <v>50</v>
      </c>
      <c r="D45" s="44">
        <v>9189</v>
      </c>
      <c r="E45" s="45">
        <v>6788</v>
      </c>
      <c r="F45" s="46">
        <f t="shared" si="13"/>
        <v>73.870932636848408</v>
      </c>
      <c r="G45" s="45">
        <v>6788</v>
      </c>
      <c r="H45" s="46">
        <f t="shared" si="14"/>
        <v>73.870932636848408</v>
      </c>
      <c r="I45" s="45">
        <v>6645</v>
      </c>
      <c r="J45" s="46">
        <f t="shared" si="15"/>
        <v>97.893341190335889</v>
      </c>
      <c r="K45" s="45">
        <v>2291</v>
      </c>
      <c r="L45" s="46">
        <f t="shared" si="19"/>
        <v>24.931983893786047</v>
      </c>
      <c r="M45" s="45">
        <v>2291</v>
      </c>
      <c r="N45" s="46">
        <f t="shared" si="20"/>
        <v>24.931983893786047</v>
      </c>
      <c r="O45" s="45">
        <v>2276</v>
      </c>
      <c r="P45" s="46">
        <f t="shared" si="21"/>
        <v>99.345264076822346</v>
      </c>
      <c r="Q45" s="47">
        <v>110</v>
      </c>
      <c r="R45" s="48">
        <v>0</v>
      </c>
      <c r="S45" s="47">
        <f t="shared" si="3"/>
        <v>110</v>
      </c>
      <c r="T45" s="49">
        <f t="shared" si="16"/>
        <v>9031</v>
      </c>
      <c r="U45" s="50">
        <f t="shared" si="17"/>
        <v>98.280552834911305</v>
      </c>
      <c r="V45" s="7">
        <f t="shared" si="18"/>
        <v>0</v>
      </c>
      <c r="W45" s="8"/>
      <c r="X45" s="8"/>
      <c r="Y45" s="8"/>
      <c r="Z45" s="8"/>
    </row>
    <row r="46" spans="1:28" ht="11.25" customHeight="1">
      <c r="A46" s="1">
        <v>5</v>
      </c>
      <c r="C46" s="31" t="s">
        <v>51</v>
      </c>
      <c r="D46" s="44">
        <v>13617</v>
      </c>
      <c r="E46" s="45">
        <v>5647</v>
      </c>
      <c r="F46" s="46">
        <f t="shared" si="13"/>
        <v>41.470221047220384</v>
      </c>
      <c r="G46" s="45">
        <v>5647</v>
      </c>
      <c r="H46" s="46">
        <f t="shared" si="14"/>
        <v>41.470221047220384</v>
      </c>
      <c r="I46" s="45">
        <v>4479</v>
      </c>
      <c r="J46" s="46">
        <f t="shared" si="15"/>
        <v>79.316451213033474</v>
      </c>
      <c r="K46" s="45">
        <v>5846</v>
      </c>
      <c r="L46" s="46">
        <f t="shared" si="19"/>
        <v>42.93162958067122</v>
      </c>
      <c r="M46" s="45">
        <v>5846</v>
      </c>
      <c r="N46" s="46">
        <f t="shared" si="20"/>
        <v>42.93162958067122</v>
      </c>
      <c r="O46" s="45">
        <v>4505</v>
      </c>
      <c r="P46" s="46">
        <f t="shared" si="21"/>
        <v>77.061238453643526</v>
      </c>
      <c r="Q46" s="47">
        <v>1716</v>
      </c>
      <c r="R46" s="48">
        <v>0</v>
      </c>
      <c r="S46" s="47">
        <f t="shared" si="3"/>
        <v>1716</v>
      </c>
      <c r="T46" s="49">
        <f t="shared" si="16"/>
        <v>10700</v>
      </c>
      <c r="U46" s="50">
        <f t="shared" si="17"/>
        <v>78.57824777851215</v>
      </c>
      <c r="V46" s="7">
        <f t="shared" si="18"/>
        <v>408</v>
      </c>
    </row>
    <row r="47" spans="1:28" ht="11.25" customHeight="1">
      <c r="A47" s="1">
        <v>5</v>
      </c>
      <c r="C47" s="31" t="s">
        <v>52</v>
      </c>
      <c r="D47" s="44">
        <v>13279</v>
      </c>
      <c r="E47" s="45">
        <v>7141</v>
      </c>
      <c r="F47" s="46">
        <f t="shared" si="13"/>
        <v>53.776639807214401</v>
      </c>
      <c r="G47" s="45">
        <v>7141</v>
      </c>
      <c r="H47" s="46">
        <f t="shared" si="14"/>
        <v>53.776639807214401</v>
      </c>
      <c r="I47" s="45">
        <v>6202</v>
      </c>
      <c r="J47" s="46">
        <f t="shared" si="15"/>
        <v>86.850581151099277</v>
      </c>
      <c r="K47" s="45">
        <v>4748</v>
      </c>
      <c r="L47" s="46">
        <f t="shared" si="19"/>
        <v>35.755704495820467</v>
      </c>
      <c r="M47" s="45">
        <v>4748</v>
      </c>
      <c r="N47" s="46">
        <f t="shared" si="20"/>
        <v>35.755704495820467</v>
      </c>
      <c r="O47" s="45">
        <v>4397</v>
      </c>
      <c r="P47" s="46">
        <f t="shared" si="21"/>
        <v>92.607413647851729</v>
      </c>
      <c r="Q47" s="47">
        <v>1230</v>
      </c>
      <c r="R47" s="48">
        <v>0</v>
      </c>
      <c r="S47" s="47">
        <f t="shared" si="3"/>
        <v>1230</v>
      </c>
      <c r="T47" s="49">
        <f t="shared" si="16"/>
        <v>11829</v>
      </c>
      <c r="U47" s="50">
        <f t="shared" si="17"/>
        <v>89.080503049928467</v>
      </c>
      <c r="V47" s="7">
        <f t="shared" si="18"/>
        <v>160</v>
      </c>
    </row>
    <row r="48" spans="1:28" ht="11.25" customHeight="1">
      <c r="A48" s="1">
        <v>5</v>
      </c>
      <c r="C48" s="31" t="s">
        <v>53</v>
      </c>
      <c r="D48" s="44">
        <v>4919</v>
      </c>
      <c r="E48" s="53"/>
      <c r="F48" s="54"/>
      <c r="G48" s="53"/>
      <c r="H48" s="54"/>
      <c r="I48" s="53"/>
      <c r="J48" s="54"/>
      <c r="K48" s="45">
        <f>2696+74</f>
        <v>2770</v>
      </c>
      <c r="L48" s="46">
        <f t="shared" si="19"/>
        <v>56.312258589144136</v>
      </c>
      <c r="M48" s="45">
        <f>2696+74</f>
        <v>2770</v>
      </c>
      <c r="N48" s="46">
        <f t="shared" si="20"/>
        <v>56.312258589144136</v>
      </c>
      <c r="O48" s="45">
        <f>2436+73</f>
        <v>2509</v>
      </c>
      <c r="P48" s="46">
        <f t="shared" si="21"/>
        <v>90.57761732851985</v>
      </c>
      <c r="Q48" s="47">
        <v>1680</v>
      </c>
      <c r="R48" s="48">
        <v>0</v>
      </c>
      <c r="S48" s="47">
        <f t="shared" si="3"/>
        <v>1680</v>
      </c>
      <c r="T48" s="49">
        <f t="shared" si="16"/>
        <v>4189</v>
      </c>
      <c r="U48" s="50">
        <f t="shared" si="17"/>
        <v>85.159585281561291</v>
      </c>
      <c r="V48" s="7">
        <f t="shared" si="18"/>
        <v>469</v>
      </c>
    </row>
    <row r="49" spans="1:22" ht="11.25" customHeight="1">
      <c r="A49" s="1">
        <v>5</v>
      </c>
      <c r="C49" s="31" t="s">
        <v>54</v>
      </c>
      <c r="D49" s="44">
        <v>6656</v>
      </c>
      <c r="E49" s="45">
        <v>3699</v>
      </c>
      <c r="F49" s="46">
        <f>E49/D49*100</f>
        <v>55.573918269230774</v>
      </c>
      <c r="G49" s="45">
        <v>3049</v>
      </c>
      <c r="H49" s="46">
        <f>G49/$D49*100</f>
        <v>45.808293269230774</v>
      </c>
      <c r="I49" s="45">
        <v>3033</v>
      </c>
      <c r="J49" s="46">
        <f>I49/$G49*100</f>
        <v>99.475237782879631</v>
      </c>
      <c r="K49" s="45">
        <v>1096</v>
      </c>
      <c r="L49" s="46">
        <f t="shared" si="19"/>
        <v>16.466346153846153</v>
      </c>
      <c r="M49" s="45">
        <v>1096</v>
      </c>
      <c r="N49" s="46">
        <f t="shared" si="20"/>
        <v>16.466346153846153</v>
      </c>
      <c r="O49" s="45">
        <v>969</v>
      </c>
      <c r="P49" s="46">
        <f t="shared" si="21"/>
        <v>88.412408759124077</v>
      </c>
      <c r="Q49" s="47">
        <v>1528</v>
      </c>
      <c r="R49" s="48">
        <v>0</v>
      </c>
      <c r="S49" s="47">
        <f t="shared" si="3"/>
        <v>1528</v>
      </c>
      <c r="T49" s="49">
        <f t="shared" si="16"/>
        <v>5530</v>
      </c>
      <c r="U49" s="50">
        <f t="shared" si="17"/>
        <v>83.082932692307693</v>
      </c>
      <c r="V49" s="7">
        <f t="shared" si="18"/>
        <v>333</v>
      </c>
    </row>
    <row r="50" spans="1:22" ht="11.25" customHeight="1">
      <c r="A50" s="1">
        <v>5</v>
      </c>
      <c r="C50" s="31" t="s">
        <v>55</v>
      </c>
      <c r="D50" s="44">
        <v>460</v>
      </c>
      <c r="E50" s="53"/>
      <c r="F50" s="54"/>
      <c r="G50" s="53"/>
      <c r="H50" s="54"/>
      <c r="I50" s="53"/>
      <c r="J50" s="54"/>
      <c r="K50" s="45">
        <v>412</v>
      </c>
      <c r="L50" s="46">
        <f t="shared" si="19"/>
        <v>89.565217391304358</v>
      </c>
      <c r="M50" s="45">
        <v>412</v>
      </c>
      <c r="N50" s="46">
        <f t="shared" si="20"/>
        <v>89.565217391304358</v>
      </c>
      <c r="O50" s="45">
        <v>407</v>
      </c>
      <c r="P50" s="46">
        <f t="shared" si="21"/>
        <v>98.786407766990294</v>
      </c>
      <c r="Q50" s="47">
        <v>32</v>
      </c>
      <c r="R50" s="48">
        <v>0</v>
      </c>
      <c r="S50" s="47">
        <f t="shared" si="3"/>
        <v>32</v>
      </c>
      <c r="T50" s="49">
        <f t="shared" si="16"/>
        <v>439</v>
      </c>
      <c r="U50" s="50">
        <f t="shared" si="17"/>
        <v>95.434782608695656</v>
      </c>
      <c r="V50" s="7">
        <f t="shared" si="18"/>
        <v>16</v>
      </c>
    </row>
    <row r="51" spans="1:22" ht="11.25" customHeight="1">
      <c r="A51" s="1">
        <v>5</v>
      </c>
      <c r="C51" s="31" t="s">
        <v>56</v>
      </c>
      <c r="D51" s="44">
        <v>988</v>
      </c>
      <c r="E51" s="53"/>
      <c r="F51" s="54"/>
      <c r="G51" s="53"/>
      <c r="H51" s="54"/>
      <c r="I51" s="53"/>
      <c r="J51" s="54"/>
      <c r="K51" s="45">
        <f>692+25</f>
        <v>717</v>
      </c>
      <c r="L51" s="46">
        <f t="shared" si="19"/>
        <v>72.570850202429142</v>
      </c>
      <c r="M51" s="45">
        <f>692+25</f>
        <v>717</v>
      </c>
      <c r="N51" s="46">
        <f t="shared" si="20"/>
        <v>72.570850202429142</v>
      </c>
      <c r="O51" s="45">
        <f>632+24</f>
        <v>656</v>
      </c>
      <c r="P51" s="46">
        <f t="shared" si="21"/>
        <v>91.492329149232916</v>
      </c>
      <c r="Q51" s="47">
        <v>237</v>
      </c>
      <c r="R51" s="48">
        <v>0</v>
      </c>
      <c r="S51" s="47">
        <f t="shared" si="3"/>
        <v>237</v>
      </c>
      <c r="T51" s="49">
        <f t="shared" si="16"/>
        <v>893</v>
      </c>
      <c r="U51" s="50">
        <f t="shared" si="17"/>
        <v>90.384615384615387</v>
      </c>
      <c r="V51" s="7">
        <f t="shared" si="18"/>
        <v>34</v>
      </c>
    </row>
    <row r="52" spans="1:22" ht="11.25" customHeight="1">
      <c r="A52" s="1">
        <v>5</v>
      </c>
      <c r="C52" s="31" t="s">
        <v>57</v>
      </c>
      <c r="D52" s="44">
        <v>3917</v>
      </c>
      <c r="E52" s="53"/>
      <c r="F52" s="54"/>
      <c r="G52" s="53"/>
      <c r="H52" s="54"/>
      <c r="I52" s="53"/>
      <c r="J52" s="54"/>
      <c r="K52" s="51"/>
      <c r="L52" s="52"/>
      <c r="M52" s="51"/>
      <c r="N52" s="52"/>
      <c r="O52" s="51"/>
      <c r="P52" s="52"/>
      <c r="Q52" s="47">
        <v>3756</v>
      </c>
      <c r="R52" s="48">
        <v>0</v>
      </c>
      <c r="S52" s="47">
        <f t="shared" si="3"/>
        <v>3756</v>
      </c>
      <c r="T52" s="49">
        <f t="shared" si="16"/>
        <v>3756</v>
      </c>
      <c r="U52" s="50">
        <f t="shared" si="17"/>
        <v>95.88971151391371</v>
      </c>
      <c r="V52" s="7">
        <f t="shared" si="18"/>
        <v>161</v>
      </c>
    </row>
    <row r="53" spans="1:22" ht="11.25" customHeight="1">
      <c r="A53" s="1">
        <v>5</v>
      </c>
      <c r="C53" s="31" t="s">
        <v>58</v>
      </c>
      <c r="D53" s="44">
        <v>577</v>
      </c>
      <c r="E53" s="53"/>
      <c r="F53" s="54"/>
      <c r="G53" s="53"/>
      <c r="H53" s="54"/>
      <c r="I53" s="53"/>
      <c r="J53" s="54"/>
      <c r="K53" s="45">
        <v>384</v>
      </c>
      <c r="L53" s="46">
        <f>K53/$D53*100</f>
        <v>66.551126516464478</v>
      </c>
      <c r="M53" s="45">
        <v>384</v>
      </c>
      <c r="N53" s="46">
        <f>M53/$D53*100</f>
        <v>66.551126516464478</v>
      </c>
      <c r="O53" s="45">
        <v>354</v>
      </c>
      <c r="P53" s="46">
        <f>O53/$M53*100</f>
        <v>92.1875</v>
      </c>
      <c r="Q53" s="47">
        <v>177</v>
      </c>
      <c r="R53" s="48">
        <v>0</v>
      </c>
      <c r="S53" s="47">
        <f t="shared" si="3"/>
        <v>177</v>
      </c>
      <c r="T53" s="49">
        <f t="shared" si="16"/>
        <v>531</v>
      </c>
      <c r="U53" s="50">
        <f t="shared" si="17"/>
        <v>92.027729636048534</v>
      </c>
      <c r="V53" s="7">
        <f t="shared" si="18"/>
        <v>16</v>
      </c>
    </row>
    <row r="54" spans="1:22" ht="11.25" customHeight="1">
      <c r="A54" s="1">
        <v>5</v>
      </c>
      <c r="C54" s="31" t="s">
        <v>59</v>
      </c>
      <c r="D54" s="44">
        <v>1410</v>
      </c>
      <c r="E54" s="45">
        <v>889</v>
      </c>
      <c r="F54" s="46">
        <f>E54/D54*100</f>
        <v>63.049645390070921</v>
      </c>
      <c r="G54" s="45">
        <v>889</v>
      </c>
      <c r="H54" s="46">
        <f>G54/$D54*100</f>
        <v>63.049645390070921</v>
      </c>
      <c r="I54" s="45">
        <v>692</v>
      </c>
      <c r="J54" s="46">
        <f>I54/$G54*100</f>
        <v>77.840269966254212</v>
      </c>
      <c r="K54" s="51"/>
      <c r="L54" s="52"/>
      <c r="M54" s="51"/>
      <c r="N54" s="52"/>
      <c r="O54" s="51"/>
      <c r="P54" s="52"/>
      <c r="Q54" s="47">
        <v>253</v>
      </c>
      <c r="R54" s="48">
        <v>0</v>
      </c>
      <c r="S54" s="47">
        <f t="shared" si="3"/>
        <v>253</v>
      </c>
      <c r="T54" s="49">
        <f t="shared" si="16"/>
        <v>945</v>
      </c>
      <c r="U54" s="50">
        <f t="shared" si="17"/>
        <v>67.021276595744681</v>
      </c>
      <c r="V54" s="7">
        <f t="shared" si="18"/>
        <v>268</v>
      </c>
    </row>
    <row r="55" spans="1:22" ht="11.25" customHeight="1">
      <c r="A55" s="1">
        <v>5</v>
      </c>
      <c r="C55" s="31" t="s">
        <v>60</v>
      </c>
      <c r="D55" s="44">
        <v>1716</v>
      </c>
      <c r="E55" s="53"/>
      <c r="F55" s="54"/>
      <c r="G55" s="53"/>
      <c r="H55" s="54"/>
      <c r="I55" s="53"/>
      <c r="J55" s="54"/>
      <c r="K55" s="52"/>
      <c r="L55" s="52"/>
      <c r="M55" s="51"/>
      <c r="N55" s="52"/>
      <c r="O55" s="51"/>
      <c r="P55" s="52"/>
      <c r="Q55" s="47">
        <v>1210</v>
      </c>
      <c r="R55" s="48">
        <v>0</v>
      </c>
      <c r="S55" s="47">
        <f t="shared" si="3"/>
        <v>1210</v>
      </c>
      <c r="T55" s="49">
        <f t="shared" si="16"/>
        <v>1210</v>
      </c>
      <c r="U55" s="50">
        <f t="shared" si="17"/>
        <v>70.512820512820511</v>
      </c>
      <c r="V55" s="7">
        <f t="shared" si="18"/>
        <v>506</v>
      </c>
    </row>
    <row r="56" spans="1:22" ht="11.25" customHeight="1">
      <c r="A56" s="1">
        <v>5</v>
      </c>
      <c r="C56" s="31" t="s">
        <v>61</v>
      </c>
      <c r="D56" s="44">
        <v>6587</v>
      </c>
      <c r="E56" s="45">
        <v>3785</v>
      </c>
      <c r="F56" s="46">
        <f>E56/D56*100</f>
        <v>57.461666919690302</v>
      </c>
      <c r="G56" s="45">
        <v>3785</v>
      </c>
      <c r="H56" s="46">
        <f>G56/$D56*100</f>
        <v>57.461666919690302</v>
      </c>
      <c r="I56" s="45">
        <v>3605</v>
      </c>
      <c r="J56" s="46">
        <f>I56/$G56*100</f>
        <v>95.244385733157202</v>
      </c>
      <c r="K56" s="45">
        <v>1604</v>
      </c>
      <c r="L56" s="46">
        <f>K56/$D56*100</f>
        <v>24.35099438287536</v>
      </c>
      <c r="M56" s="45">
        <v>1604</v>
      </c>
      <c r="N56" s="46">
        <f>M56/$D56*100</f>
        <v>24.35099438287536</v>
      </c>
      <c r="O56" s="45">
        <v>1571</v>
      </c>
      <c r="P56" s="46">
        <f>O56/$M56*100</f>
        <v>97.942643391521202</v>
      </c>
      <c r="Q56" s="47">
        <v>1040</v>
      </c>
      <c r="R56" s="48">
        <v>0</v>
      </c>
      <c r="S56" s="47">
        <f t="shared" si="3"/>
        <v>1040</v>
      </c>
      <c r="T56" s="49">
        <f t="shared" si="16"/>
        <v>6216</v>
      </c>
      <c r="U56" s="50">
        <f t="shared" si="17"/>
        <v>94.367693942614238</v>
      </c>
      <c r="V56" s="7">
        <f t="shared" si="18"/>
        <v>158</v>
      </c>
    </row>
    <row r="57" spans="1:22" ht="11.25" customHeight="1">
      <c r="A57" s="1">
        <v>5</v>
      </c>
      <c r="C57" s="31" t="s">
        <v>62</v>
      </c>
      <c r="D57" s="44">
        <v>6831</v>
      </c>
      <c r="E57" s="45">
        <v>3438</v>
      </c>
      <c r="F57" s="46">
        <f>E57/D57*100</f>
        <v>50.329380764163375</v>
      </c>
      <c r="G57" s="45">
        <v>3438</v>
      </c>
      <c r="H57" s="46">
        <f>G57/$D57*100</f>
        <v>50.329380764163375</v>
      </c>
      <c r="I57" s="45">
        <v>3422</v>
      </c>
      <c r="J57" s="46">
        <f>I57/$G57*100</f>
        <v>99.53461314717859</v>
      </c>
      <c r="K57" s="45">
        <v>2153</v>
      </c>
      <c r="L57" s="46">
        <f>K57/$D57*100</f>
        <v>31.518079344166299</v>
      </c>
      <c r="M57" s="45">
        <v>2153</v>
      </c>
      <c r="N57" s="46">
        <f>M57/$D57*100</f>
        <v>31.518079344166299</v>
      </c>
      <c r="O57" s="45">
        <v>2112</v>
      </c>
      <c r="P57" s="46">
        <f>O57/$M57*100</f>
        <v>98.095680445889457</v>
      </c>
      <c r="Q57" s="47">
        <v>1186</v>
      </c>
      <c r="R57" s="48">
        <v>0</v>
      </c>
      <c r="S57" s="47">
        <f t="shared" si="3"/>
        <v>1186</v>
      </c>
      <c r="T57" s="49">
        <f t="shared" si="16"/>
        <v>6720</v>
      </c>
      <c r="U57" s="50">
        <f t="shared" si="17"/>
        <v>98.375054896794026</v>
      </c>
      <c r="V57" s="7">
        <f t="shared" si="18"/>
        <v>54</v>
      </c>
    </row>
    <row r="58" spans="1:22" ht="11.25" customHeight="1">
      <c r="A58" s="1">
        <v>5</v>
      </c>
      <c r="C58" s="31" t="s">
        <v>63</v>
      </c>
      <c r="D58" s="44">
        <v>1054</v>
      </c>
      <c r="E58" s="53"/>
      <c r="F58" s="54"/>
      <c r="G58" s="53"/>
      <c r="H58" s="54"/>
      <c r="I58" s="53"/>
      <c r="J58" s="54"/>
      <c r="K58" s="51"/>
      <c r="L58" s="52"/>
      <c r="M58" s="51"/>
      <c r="N58" s="52"/>
      <c r="O58" s="51"/>
      <c r="P58" s="52"/>
      <c r="Q58" s="47">
        <v>536</v>
      </c>
      <c r="R58" s="48">
        <v>0</v>
      </c>
      <c r="S58" s="47">
        <f t="shared" si="3"/>
        <v>536</v>
      </c>
      <c r="T58" s="49">
        <f t="shared" si="16"/>
        <v>536</v>
      </c>
      <c r="U58" s="50">
        <f t="shared" si="17"/>
        <v>50.853889943074002</v>
      </c>
      <c r="V58" s="7">
        <f t="shared" si="18"/>
        <v>518</v>
      </c>
    </row>
    <row r="59" spans="1:22" ht="11.25" customHeight="1">
      <c r="A59" s="1">
        <v>6</v>
      </c>
      <c r="C59" s="31" t="s">
        <v>64</v>
      </c>
      <c r="D59" s="44">
        <v>4786</v>
      </c>
      <c r="E59" s="45">
        <v>3372</v>
      </c>
      <c r="F59" s="46">
        <f>E59/D59*100</f>
        <v>70.455495194316754</v>
      </c>
      <c r="G59" s="45">
        <v>3369</v>
      </c>
      <c r="H59" s="46">
        <f>G59/$D59*100</f>
        <v>70.392812369410791</v>
      </c>
      <c r="I59" s="45">
        <v>2512</v>
      </c>
      <c r="J59" s="46">
        <f>I59/$G59*100</f>
        <v>74.562184624517656</v>
      </c>
      <c r="K59" s="51"/>
      <c r="L59" s="52"/>
      <c r="M59" s="51"/>
      <c r="N59" s="52"/>
      <c r="O59" s="51"/>
      <c r="P59" s="52"/>
      <c r="Q59" s="47">
        <v>644</v>
      </c>
      <c r="R59" s="48">
        <v>0</v>
      </c>
      <c r="S59" s="47">
        <f t="shared" si="3"/>
        <v>644</v>
      </c>
      <c r="T59" s="49">
        <f t="shared" si="16"/>
        <v>3156</v>
      </c>
      <c r="U59" s="50">
        <f t="shared" si="17"/>
        <v>65.94233180108651</v>
      </c>
      <c r="V59" s="7">
        <f t="shared" si="18"/>
        <v>770</v>
      </c>
    </row>
    <row r="60" spans="1:22" ht="11.25" customHeight="1">
      <c r="A60" s="1">
        <v>6</v>
      </c>
      <c r="C60" s="31" t="s">
        <v>65</v>
      </c>
      <c r="D60" s="44">
        <v>4370</v>
      </c>
      <c r="E60" s="45">
        <v>341</v>
      </c>
      <c r="F60" s="46">
        <f>E60/D60*100</f>
        <v>7.8032036613272311</v>
      </c>
      <c r="G60" s="45">
        <v>341</v>
      </c>
      <c r="H60" s="46">
        <f>G60/$D60*100</f>
        <v>7.8032036613272311</v>
      </c>
      <c r="I60" s="45">
        <v>318</v>
      </c>
      <c r="J60" s="46">
        <f>I60/$G60*100</f>
        <v>93.255131964809379</v>
      </c>
      <c r="K60" s="45">
        <v>738</v>
      </c>
      <c r="L60" s="46">
        <f t="shared" ref="L60:L66" si="22">K60/$D60*100</f>
        <v>16.887871853546908</v>
      </c>
      <c r="M60" s="45">
        <v>738</v>
      </c>
      <c r="N60" s="46">
        <f t="shared" ref="N60:N66" si="23">M60/$D60*100</f>
        <v>16.887871853546908</v>
      </c>
      <c r="O60" s="45">
        <v>628</v>
      </c>
      <c r="P60" s="46">
        <f t="shared" ref="P60:P66" si="24">O60/$M60*100</f>
        <v>85.094850948509475</v>
      </c>
      <c r="Q60" s="47">
        <v>2500</v>
      </c>
      <c r="R60" s="48">
        <v>0</v>
      </c>
      <c r="S60" s="47">
        <f t="shared" si="3"/>
        <v>2500</v>
      </c>
      <c r="T60" s="49">
        <f t="shared" si="16"/>
        <v>3446</v>
      </c>
      <c r="U60" s="50">
        <f t="shared" si="17"/>
        <v>78.855835240274601</v>
      </c>
      <c r="V60" s="7">
        <f t="shared" si="18"/>
        <v>791</v>
      </c>
    </row>
    <row r="61" spans="1:22" ht="11.25" customHeight="1">
      <c r="A61" s="1">
        <v>6</v>
      </c>
      <c r="C61" s="31" t="s">
        <v>66</v>
      </c>
      <c r="D61" s="44">
        <v>3038</v>
      </c>
      <c r="E61" s="45">
        <v>1956</v>
      </c>
      <c r="F61" s="46">
        <f>E61/D61*100</f>
        <v>64.384463462804476</v>
      </c>
      <c r="G61" s="45">
        <v>1956</v>
      </c>
      <c r="H61" s="46">
        <f>G61/$D61*100</f>
        <v>64.384463462804476</v>
      </c>
      <c r="I61" s="45">
        <v>1747</v>
      </c>
      <c r="J61" s="46">
        <f>I61/$G61*100</f>
        <v>89.314928425357877</v>
      </c>
      <c r="K61" s="45">
        <v>341</v>
      </c>
      <c r="L61" s="46">
        <f t="shared" si="22"/>
        <v>11.224489795918368</v>
      </c>
      <c r="M61" s="45">
        <v>341</v>
      </c>
      <c r="N61" s="46">
        <f t="shared" si="23"/>
        <v>11.224489795918368</v>
      </c>
      <c r="O61" s="45">
        <v>296</v>
      </c>
      <c r="P61" s="46">
        <f t="shared" si="24"/>
        <v>86.803519061583572</v>
      </c>
      <c r="Q61" s="47">
        <v>605</v>
      </c>
      <c r="R61" s="48">
        <v>0</v>
      </c>
      <c r="S61" s="47">
        <f t="shared" si="3"/>
        <v>605</v>
      </c>
      <c r="T61" s="49">
        <f t="shared" si="16"/>
        <v>2648</v>
      </c>
      <c r="U61" s="50">
        <f t="shared" si="17"/>
        <v>87.162606978275178</v>
      </c>
      <c r="V61" s="7">
        <f t="shared" si="18"/>
        <v>136</v>
      </c>
    </row>
    <row r="62" spans="1:22" ht="11.25" customHeight="1">
      <c r="A62" s="1">
        <v>6</v>
      </c>
      <c r="C62" s="31" t="s">
        <v>67</v>
      </c>
      <c r="D62" s="44">
        <v>828</v>
      </c>
      <c r="E62" s="53"/>
      <c r="F62" s="54"/>
      <c r="G62" s="53"/>
      <c r="H62" s="54"/>
      <c r="I62" s="53"/>
      <c r="J62" s="54"/>
      <c r="K62" s="45">
        <f>665+38</f>
        <v>703</v>
      </c>
      <c r="L62" s="46">
        <f t="shared" si="22"/>
        <v>84.903381642512073</v>
      </c>
      <c r="M62" s="45">
        <f>665+38</f>
        <v>703</v>
      </c>
      <c r="N62" s="46">
        <f t="shared" si="23"/>
        <v>84.903381642512073</v>
      </c>
      <c r="O62" s="45">
        <f>643+29</f>
        <v>672</v>
      </c>
      <c r="P62" s="46">
        <f t="shared" si="24"/>
        <v>95.590327169274531</v>
      </c>
      <c r="Q62" s="47">
        <v>103</v>
      </c>
      <c r="R62" s="48">
        <v>0</v>
      </c>
      <c r="S62" s="47">
        <f t="shared" si="3"/>
        <v>103</v>
      </c>
      <c r="T62" s="49">
        <f t="shared" si="16"/>
        <v>775</v>
      </c>
      <c r="U62" s="50">
        <f t="shared" si="17"/>
        <v>93.59903381642512</v>
      </c>
      <c r="V62" s="7">
        <f t="shared" si="18"/>
        <v>22</v>
      </c>
    </row>
    <row r="63" spans="1:22" ht="11.25" customHeight="1">
      <c r="A63" s="1">
        <v>6</v>
      </c>
      <c r="C63" s="31" t="s">
        <v>68</v>
      </c>
      <c r="D63" s="44">
        <v>3965</v>
      </c>
      <c r="E63" s="45">
        <v>1304</v>
      </c>
      <c r="F63" s="46">
        <f>E63/D63*100</f>
        <v>32.887767969735179</v>
      </c>
      <c r="G63" s="45">
        <v>1304</v>
      </c>
      <c r="H63" s="46">
        <f>G63/$D63*100</f>
        <v>32.887767969735179</v>
      </c>
      <c r="I63" s="45">
        <v>1080</v>
      </c>
      <c r="J63" s="46">
        <f>I63/$G63*100</f>
        <v>82.822085889570545</v>
      </c>
      <c r="K63" s="45">
        <v>1816</v>
      </c>
      <c r="L63" s="46">
        <f t="shared" si="22"/>
        <v>45.80075662042875</v>
      </c>
      <c r="M63" s="45">
        <v>1816</v>
      </c>
      <c r="N63" s="46">
        <f t="shared" si="23"/>
        <v>45.80075662042875</v>
      </c>
      <c r="O63" s="45">
        <v>1649</v>
      </c>
      <c r="P63" s="46">
        <f t="shared" si="24"/>
        <v>90.803964757709252</v>
      </c>
      <c r="Q63" s="47">
        <v>671</v>
      </c>
      <c r="R63" s="48">
        <v>0</v>
      </c>
      <c r="S63" s="47">
        <f t="shared" si="3"/>
        <v>671</v>
      </c>
      <c r="T63" s="49">
        <f t="shared" si="16"/>
        <v>3400</v>
      </c>
      <c r="U63" s="50">
        <f t="shared" si="17"/>
        <v>85.750315258511975</v>
      </c>
      <c r="V63" s="7">
        <f t="shared" si="18"/>
        <v>174</v>
      </c>
    </row>
    <row r="64" spans="1:22" ht="11.25" customHeight="1">
      <c r="A64" s="1">
        <v>6</v>
      </c>
      <c r="C64" s="31" t="s">
        <v>113</v>
      </c>
      <c r="D64" s="44">
        <v>11754</v>
      </c>
      <c r="E64" s="45">
        <f>5381+2703</f>
        <v>8084</v>
      </c>
      <c r="F64" s="46">
        <f>E64/D64*100</f>
        <v>68.776586693891446</v>
      </c>
      <c r="G64" s="45">
        <f>5381+2703</f>
        <v>8084</v>
      </c>
      <c r="H64" s="46">
        <f>G64/$D64*100</f>
        <v>68.776586693891446</v>
      </c>
      <c r="I64" s="45">
        <f>4643+2328</f>
        <v>6971</v>
      </c>
      <c r="J64" s="46">
        <f>I64/$G64*100</f>
        <v>86.232063334982684</v>
      </c>
      <c r="K64" s="45">
        <f>1242+39</f>
        <v>1281</v>
      </c>
      <c r="L64" s="46">
        <f t="shared" si="22"/>
        <v>10.898417559979581</v>
      </c>
      <c r="M64" s="45">
        <f>1242+39</f>
        <v>1281</v>
      </c>
      <c r="N64" s="46">
        <f t="shared" si="23"/>
        <v>10.898417559979581</v>
      </c>
      <c r="O64" s="45">
        <f>1231+37</f>
        <v>1268</v>
      </c>
      <c r="P64" s="46">
        <f t="shared" si="24"/>
        <v>98.985167837626847</v>
      </c>
      <c r="Q64" s="47">
        <v>1790</v>
      </c>
      <c r="R64" s="48">
        <v>0</v>
      </c>
      <c r="S64" s="47">
        <f t="shared" si="3"/>
        <v>1790</v>
      </c>
      <c r="T64" s="49">
        <f t="shared" si="16"/>
        <v>10029</v>
      </c>
      <c r="U64" s="50">
        <f t="shared" si="17"/>
        <v>85.324144971924454</v>
      </c>
      <c r="V64" s="7">
        <f t="shared" si="18"/>
        <v>599</v>
      </c>
    </row>
    <row r="65" spans="1:22" ht="11.25" customHeight="1">
      <c r="A65" s="1">
        <v>7</v>
      </c>
      <c r="C65" s="31" t="s">
        <v>69</v>
      </c>
      <c r="D65" s="44">
        <v>2886</v>
      </c>
      <c r="E65" s="45">
        <v>1888</v>
      </c>
      <c r="F65" s="46">
        <f>E65/D65*100</f>
        <v>65.419265419265415</v>
      </c>
      <c r="G65" s="45">
        <v>1888</v>
      </c>
      <c r="H65" s="46">
        <f>G65/$D65*100</f>
        <v>65.419265419265415</v>
      </c>
      <c r="I65" s="45">
        <v>1740</v>
      </c>
      <c r="J65" s="46">
        <f>I65/$G65*100</f>
        <v>92.16101694915254</v>
      </c>
      <c r="K65" s="45">
        <v>449</v>
      </c>
      <c r="L65" s="46">
        <f t="shared" si="22"/>
        <v>15.557865557865558</v>
      </c>
      <c r="M65" s="45">
        <v>449</v>
      </c>
      <c r="N65" s="46">
        <f t="shared" si="23"/>
        <v>15.557865557865558</v>
      </c>
      <c r="O65" s="45">
        <v>356</v>
      </c>
      <c r="P65" s="46">
        <f t="shared" si="24"/>
        <v>79.287305122494431</v>
      </c>
      <c r="Q65" s="47">
        <v>383</v>
      </c>
      <c r="R65" s="48">
        <v>0</v>
      </c>
      <c r="S65" s="47">
        <f t="shared" si="3"/>
        <v>383</v>
      </c>
      <c r="T65" s="49">
        <f t="shared" si="16"/>
        <v>2479</v>
      </c>
      <c r="U65" s="50">
        <f t="shared" si="17"/>
        <v>85.897435897435898</v>
      </c>
      <c r="V65" s="7">
        <f t="shared" si="18"/>
        <v>166</v>
      </c>
    </row>
    <row r="66" spans="1:22" ht="11.25" customHeight="1">
      <c r="A66" s="1">
        <v>7</v>
      </c>
      <c r="C66" s="31" t="s">
        <v>70</v>
      </c>
      <c r="D66" s="44">
        <v>1879</v>
      </c>
      <c r="E66" s="53"/>
      <c r="F66" s="54"/>
      <c r="G66" s="53"/>
      <c r="H66" s="54"/>
      <c r="I66" s="53"/>
      <c r="J66" s="54"/>
      <c r="K66" s="45">
        <v>936</v>
      </c>
      <c r="L66" s="46">
        <f t="shared" si="22"/>
        <v>49.813730707823311</v>
      </c>
      <c r="M66" s="45">
        <v>936</v>
      </c>
      <c r="N66" s="46">
        <f t="shared" si="23"/>
        <v>49.813730707823311</v>
      </c>
      <c r="O66" s="45">
        <v>827</v>
      </c>
      <c r="P66" s="46">
        <f t="shared" si="24"/>
        <v>88.354700854700852</v>
      </c>
      <c r="Q66" s="47">
        <v>706</v>
      </c>
      <c r="R66" s="48">
        <v>0</v>
      </c>
      <c r="S66" s="47">
        <f t="shared" si="3"/>
        <v>706</v>
      </c>
      <c r="T66" s="49">
        <f t="shared" si="16"/>
        <v>1533</v>
      </c>
      <c r="U66" s="50">
        <f t="shared" si="17"/>
        <v>81.5859499733901</v>
      </c>
      <c r="V66" s="7">
        <f t="shared" si="18"/>
        <v>237</v>
      </c>
    </row>
    <row r="67" spans="1:22" ht="11.25" customHeight="1">
      <c r="A67" s="1">
        <v>7</v>
      </c>
      <c r="C67" s="31" t="s">
        <v>71</v>
      </c>
      <c r="D67" s="44">
        <v>8760</v>
      </c>
      <c r="E67" s="45">
        <v>8744</v>
      </c>
      <c r="F67" s="46">
        <f>E67/D67*100</f>
        <v>99.817351598173516</v>
      </c>
      <c r="G67" s="45">
        <v>8744</v>
      </c>
      <c r="H67" s="46">
        <f>G67/$D67*100</f>
        <v>99.817351598173516</v>
      </c>
      <c r="I67" s="45">
        <v>8708</v>
      </c>
      <c r="J67" s="46">
        <f>I67/$G67*100</f>
        <v>99.588289112534312</v>
      </c>
      <c r="K67" s="52"/>
      <c r="L67" s="52"/>
      <c r="M67" s="51"/>
      <c r="N67" s="52"/>
      <c r="O67" s="51"/>
      <c r="P67" s="52"/>
      <c r="Q67" s="47">
        <v>1</v>
      </c>
      <c r="R67" s="48">
        <v>0</v>
      </c>
      <c r="S67" s="47">
        <f t="shared" si="3"/>
        <v>1</v>
      </c>
      <c r="T67" s="49">
        <f t="shared" si="16"/>
        <v>8709</v>
      </c>
      <c r="U67" s="50">
        <f t="shared" si="17"/>
        <v>99.417808219178085</v>
      </c>
      <c r="V67" s="7">
        <f t="shared" si="18"/>
        <v>15</v>
      </c>
    </row>
    <row r="68" spans="1:22" ht="11.25" customHeight="1">
      <c r="A68" s="1">
        <v>7</v>
      </c>
      <c r="C68" s="31" t="s">
        <v>72</v>
      </c>
      <c r="D68" s="44">
        <v>4646</v>
      </c>
      <c r="E68" s="45">
        <v>4646</v>
      </c>
      <c r="F68" s="46">
        <f>E68/D68*100</f>
        <v>100</v>
      </c>
      <c r="G68" s="45">
        <v>4646</v>
      </c>
      <c r="H68" s="46">
        <f>G68/$D68*100</f>
        <v>100</v>
      </c>
      <c r="I68" s="45">
        <v>4544</v>
      </c>
      <c r="J68" s="46">
        <f>I68/$G68*100</f>
        <v>97.804563065002142</v>
      </c>
      <c r="K68" s="52"/>
      <c r="L68" s="52"/>
      <c r="M68" s="51"/>
      <c r="N68" s="52"/>
      <c r="O68" s="51"/>
      <c r="P68" s="52"/>
      <c r="Q68" s="55"/>
      <c r="R68" s="56"/>
      <c r="S68" s="47">
        <f t="shared" si="3"/>
        <v>0</v>
      </c>
      <c r="T68" s="49">
        <f t="shared" si="16"/>
        <v>4544</v>
      </c>
      <c r="U68" s="50">
        <f t="shared" si="17"/>
        <v>97.804563065002142</v>
      </c>
      <c r="V68" s="7">
        <f t="shared" si="18"/>
        <v>0</v>
      </c>
    </row>
    <row r="69" spans="1:22" ht="11.25" customHeight="1">
      <c r="A69" s="1">
        <v>7</v>
      </c>
      <c r="C69" s="31" t="s">
        <v>89</v>
      </c>
      <c r="D69" s="44">
        <v>4853</v>
      </c>
      <c r="E69" s="53"/>
      <c r="F69" s="54"/>
      <c r="G69" s="53"/>
      <c r="H69" s="54"/>
      <c r="I69" s="53"/>
      <c r="J69" s="54"/>
      <c r="K69" s="45">
        <f>2818+75</f>
        <v>2893</v>
      </c>
      <c r="L69" s="46">
        <f>K69/$D69*100</f>
        <v>59.612610756233252</v>
      </c>
      <c r="M69" s="45">
        <f>2820+73</f>
        <v>2893</v>
      </c>
      <c r="N69" s="46">
        <f>M69/$D69*100</f>
        <v>59.612610756233252</v>
      </c>
      <c r="O69" s="45">
        <f>2486+73</f>
        <v>2559</v>
      </c>
      <c r="P69" s="46">
        <f>O69/$M69*100</f>
        <v>88.454891116488071</v>
      </c>
      <c r="Q69" s="47">
        <v>1551</v>
      </c>
      <c r="R69" s="48">
        <v>0</v>
      </c>
      <c r="S69" s="47">
        <f t="shared" si="3"/>
        <v>1551</v>
      </c>
      <c r="T69" s="49">
        <f t="shared" si="16"/>
        <v>4110</v>
      </c>
      <c r="U69" s="50">
        <f t="shared" si="17"/>
        <v>84.689882546878209</v>
      </c>
      <c r="V69" s="7">
        <f t="shared" si="18"/>
        <v>409</v>
      </c>
    </row>
    <row r="70" spans="1:22" ht="11.25" customHeight="1">
      <c r="A70" s="1">
        <v>8</v>
      </c>
      <c r="C70" s="31" t="s">
        <v>73</v>
      </c>
      <c r="D70" s="44">
        <v>10213</v>
      </c>
      <c r="E70" s="45">
        <v>9613</v>
      </c>
      <c r="F70" s="46">
        <f t="shared" ref="F70:F82" si="25">E70/D70*100</f>
        <v>94.125134632331338</v>
      </c>
      <c r="G70" s="45">
        <v>9613</v>
      </c>
      <c r="H70" s="46">
        <f t="shared" ref="H70:H82" si="26">G70/$D70*100</f>
        <v>94.125134632331338</v>
      </c>
      <c r="I70" s="45">
        <v>8602</v>
      </c>
      <c r="J70" s="46">
        <f t="shared" ref="J70:J82" si="27">I70/$G70*100</f>
        <v>89.482991781961928</v>
      </c>
      <c r="K70" s="52"/>
      <c r="L70" s="52"/>
      <c r="M70" s="51"/>
      <c r="N70" s="52"/>
      <c r="O70" s="51"/>
      <c r="P70" s="52"/>
      <c r="Q70" s="47">
        <v>406</v>
      </c>
      <c r="R70" s="48">
        <v>0</v>
      </c>
      <c r="S70" s="47">
        <f t="shared" si="3"/>
        <v>406</v>
      </c>
      <c r="T70" s="49">
        <f t="shared" si="16"/>
        <v>9008</v>
      </c>
      <c r="U70" s="50">
        <f t="shared" si="17"/>
        <v>88.20131205326544</v>
      </c>
      <c r="V70" s="7">
        <f t="shared" si="18"/>
        <v>194</v>
      </c>
    </row>
    <row r="71" spans="1:22" ht="11.25" customHeight="1">
      <c r="A71" s="1">
        <v>8</v>
      </c>
      <c r="C71" s="31" t="s">
        <v>74</v>
      </c>
      <c r="D71" s="44">
        <v>10003</v>
      </c>
      <c r="E71" s="45">
        <v>9896</v>
      </c>
      <c r="F71" s="46">
        <f t="shared" si="25"/>
        <v>98.930320903728884</v>
      </c>
      <c r="G71" s="45">
        <v>9896</v>
      </c>
      <c r="H71" s="46">
        <f t="shared" si="26"/>
        <v>98.930320903728884</v>
      </c>
      <c r="I71" s="45">
        <v>8912</v>
      </c>
      <c r="J71" s="46">
        <f t="shared" si="27"/>
        <v>90.056588520614383</v>
      </c>
      <c r="K71" s="52"/>
      <c r="L71" s="52"/>
      <c r="M71" s="51"/>
      <c r="N71" s="52"/>
      <c r="O71" s="51"/>
      <c r="P71" s="52"/>
      <c r="Q71" s="47">
        <v>41</v>
      </c>
      <c r="R71" s="48">
        <v>0</v>
      </c>
      <c r="S71" s="47">
        <f t="shared" ref="S71:S83" si="28">SUM(Q71:R71)</f>
        <v>41</v>
      </c>
      <c r="T71" s="49">
        <f t="shared" ref="T71:T83" si="29">S71+O71+I71</f>
        <v>8953</v>
      </c>
      <c r="U71" s="50">
        <f t="shared" ref="U71:U84" si="30">T71/D71*100</f>
        <v>89.503149055283416</v>
      </c>
      <c r="V71" s="7">
        <f t="shared" ref="V71:V84" si="31">+D71-E71-K71-S71</f>
        <v>66</v>
      </c>
    </row>
    <row r="72" spans="1:22" ht="11.25" customHeight="1">
      <c r="A72" s="1">
        <v>8</v>
      </c>
      <c r="C72" s="35" t="s">
        <v>118</v>
      </c>
      <c r="D72" s="44">
        <v>9156</v>
      </c>
      <c r="E72" s="45">
        <v>6905</v>
      </c>
      <c r="F72" s="46">
        <f t="shared" si="25"/>
        <v>75.415028396679773</v>
      </c>
      <c r="G72" s="45">
        <v>6905</v>
      </c>
      <c r="H72" s="46">
        <f t="shared" si="26"/>
        <v>75.415028396679773</v>
      </c>
      <c r="I72" s="45">
        <v>5604</v>
      </c>
      <c r="J72" s="46">
        <f t="shared" si="27"/>
        <v>81.158580738595219</v>
      </c>
      <c r="K72" s="45">
        <v>46</v>
      </c>
      <c r="L72" s="46">
        <f>K72/$D72*100</f>
        <v>0.50240279598077764</v>
      </c>
      <c r="M72" s="45">
        <v>46</v>
      </c>
      <c r="N72" s="46">
        <f>M72/$D72*100</f>
        <v>0.50240279598077764</v>
      </c>
      <c r="O72" s="45">
        <v>46</v>
      </c>
      <c r="P72" s="46">
        <f>O72/$M72*100</f>
        <v>100</v>
      </c>
      <c r="Q72" s="47">
        <v>1823</v>
      </c>
      <c r="R72" s="48">
        <v>0</v>
      </c>
      <c r="S72" s="47">
        <f t="shared" si="28"/>
        <v>1823</v>
      </c>
      <c r="T72" s="49">
        <f t="shared" si="29"/>
        <v>7473</v>
      </c>
      <c r="U72" s="50">
        <f t="shared" si="30"/>
        <v>81.618610747051108</v>
      </c>
      <c r="V72" s="34">
        <f t="shared" si="31"/>
        <v>382</v>
      </c>
    </row>
    <row r="73" spans="1:22" ht="11.25" customHeight="1">
      <c r="A73" s="1">
        <v>8</v>
      </c>
      <c r="C73" s="31" t="s">
        <v>75</v>
      </c>
      <c r="D73" s="44">
        <v>3033</v>
      </c>
      <c r="E73" s="45">
        <v>336</v>
      </c>
      <c r="F73" s="46">
        <f t="shared" si="25"/>
        <v>11.078140454995054</v>
      </c>
      <c r="G73" s="45">
        <v>336</v>
      </c>
      <c r="H73" s="46">
        <f t="shared" si="26"/>
        <v>11.078140454995054</v>
      </c>
      <c r="I73" s="45">
        <v>235</v>
      </c>
      <c r="J73" s="46">
        <f t="shared" si="27"/>
        <v>69.94047619047619</v>
      </c>
      <c r="K73" s="45">
        <v>749</v>
      </c>
      <c r="L73" s="46">
        <f>K73/$D73*100</f>
        <v>24.695021430926474</v>
      </c>
      <c r="M73" s="45">
        <v>749</v>
      </c>
      <c r="N73" s="46">
        <f>M73/$D73*100</f>
        <v>24.695021430926474</v>
      </c>
      <c r="O73" s="45">
        <v>674</v>
      </c>
      <c r="P73" s="46">
        <f>O73/$M73*100</f>
        <v>89.986648865153541</v>
      </c>
      <c r="Q73" s="47">
        <v>1252</v>
      </c>
      <c r="R73" s="48">
        <v>0</v>
      </c>
      <c r="S73" s="47">
        <f t="shared" si="28"/>
        <v>1252</v>
      </c>
      <c r="T73" s="49">
        <f t="shared" si="29"/>
        <v>2161</v>
      </c>
      <c r="U73" s="50">
        <f t="shared" si="30"/>
        <v>71.249587866798549</v>
      </c>
      <c r="V73" s="7">
        <f t="shared" si="31"/>
        <v>696</v>
      </c>
    </row>
    <row r="74" spans="1:22" ht="11.25" customHeight="1">
      <c r="A74" s="1">
        <v>9</v>
      </c>
      <c r="C74" s="31" t="s">
        <v>76</v>
      </c>
      <c r="D74" s="44">
        <v>15380</v>
      </c>
      <c r="E74" s="45">
        <v>15080</v>
      </c>
      <c r="F74" s="46">
        <f t="shared" si="25"/>
        <v>98.049414824447339</v>
      </c>
      <c r="G74" s="45">
        <v>11576</v>
      </c>
      <c r="H74" s="46">
        <f t="shared" si="26"/>
        <v>75.266579973992194</v>
      </c>
      <c r="I74" s="45">
        <v>9000</v>
      </c>
      <c r="J74" s="46">
        <f t="shared" si="27"/>
        <v>77.747062888735314</v>
      </c>
      <c r="K74" s="51"/>
      <c r="L74" s="52"/>
      <c r="M74" s="51"/>
      <c r="N74" s="52"/>
      <c r="O74" s="51"/>
      <c r="P74" s="52"/>
      <c r="Q74" s="47">
        <v>233</v>
      </c>
      <c r="R74" s="48">
        <v>0</v>
      </c>
      <c r="S74" s="47">
        <f t="shared" si="28"/>
        <v>233</v>
      </c>
      <c r="T74" s="49">
        <f t="shared" si="29"/>
        <v>9233</v>
      </c>
      <c r="U74" s="50">
        <f t="shared" si="30"/>
        <v>60.032509752925876</v>
      </c>
      <c r="V74" s="7">
        <f t="shared" si="31"/>
        <v>67</v>
      </c>
    </row>
    <row r="75" spans="1:22" ht="11.25" customHeight="1">
      <c r="A75" s="1">
        <v>9</v>
      </c>
      <c r="C75" s="31" t="s">
        <v>77</v>
      </c>
      <c r="D75" s="44">
        <v>11163</v>
      </c>
      <c r="E75" s="45">
        <v>8900</v>
      </c>
      <c r="F75" s="46">
        <f t="shared" si="25"/>
        <v>79.727671772820926</v>
      </c>
      <c r="G75" s="45">
        <v>8900</v>
      </c>
      <c r="H75" s="46">
        <f t="shared" si="26"/>
        <v>79.727671772820926</v>
      </c>
      <c r="I75" s="45">
        <v>8583</v>
      </c>
      <c r="J75" s="46">
        <f t="shared" si="27"/>
        <v>96.438202247191001</v>
      </c>
      <c r="K75" s="45">
        <v>2263</v>
      </c>
      <c r="L75" s="46">
        <f t="shared" ref="L75:L84" si="32">K75/$D75*100</f>
        <v>20.272328227179074</v>
      </c>
      <c r="M75" s="45">
        <v>2263</v>
      </c>
      <c r="N75" s="46">
        <f t="shared" ref="N75:N84" si="33">M75/$D75*100</f>
        <v>20.272328227179074</v>
      </c>
      <c r="O75" s="45">
        <v>2184</v>
      </c>
      <c r="P75" s="46">
        <f t="shared" ref="P75:P84" si="34">O75/$M75*100</f>
        <v>96.5090587715422</v>
      </c>
      <c r="Q75" s="55"/>
      <c r="R75" s="56"/>
      <c r="S75" s="47">
        <f t="shared" si="28"/>
        <v>0</v>
      </c>
      <c r="T75" s="49">
        <f t="shared" si="29"/>
        <v>10767</v>
      </c>
      <c r="U75" s="50">
        <f t="shared" si="30"/>
        <v>96.452566514377864</v>
      </c>
      <c r="V75" s="7">
        <f t="shared" si="31"/>
        <v>0</v>
      </c>
    </row>
    <row r="76" spans="1:22" ht="11.25" customHeight="1">
      <c r="A76" s="1">
        <v>9</v>
      </c>
      <c r="C76" s="31" t="s">
        <v>78</v>
      </c>
      <c r="D76" s="44">
        <v>7291</v>
      </c>
      <c r="E76" s="45">
        <v>4857</v>
      </c>
      <c r="F76" s="46">
        <f t="shared" si="25"/>
        <v>66.616376354409539</v>
      </c>
      <c r="G76" s="45">
        <v>4857</v>
      </c>
      <c r="H76" s="46">
        <f t="shared" si="26"/>
        <v>66.616376354409539</v>
      </c>
      <c r="I76" s="45">
        <v>4475</v>
      </c>
      <c r="J76" s="46">
        <f t="shared" si="27"/>
        <v>92.135062795964586</v>
      </c>
      <c r="K76" s="45">
        <v>2285</v>
      </c>
      <c r="L76" s="46">
        <f t="shared" si="32"/>
        <v>31.340008229323825</v>
      </c>
      <c r="M76" s="45">
        <v>2285</v>
      </c>
      <c r="N76" s="46">
        <f t="shared" si="33"/>
        <v>31.340008229323825</v>
      </c>
      <c r="O76" s="45">
        <v>2122</v>
      </c>
      <c r="P76" s="46">
        <f t="shared" si="34"/>
        <v>92.866520787746168</v>
      </c>
      <c r="Q76" s="47">
        <v>117</v>
      </c>
      <c r="R76" s="48">
        <v>0</v>
      </c>
      <c r="S76" s="47">
        <f t="shared" si="28"/>
        <v>117</v>
      </c>
      <c r="T76" s="49">
        <f t="shared" si="29"/>
        <v>6714</v>
      </c>
      <c r="U76" s="50">
        <f t="shared" si="30"/>
        <v>92.086133589356749</v>
      </c>
      <c r="V76" s="7">
        <f t="shared" si="31"/>
        <v>32</v>
      </c>
    </row>
    <row r="77" spans="1:22" ht="11.25" customHeight="1">
      <c r="A77" s="1">
        <v>10</v>
      </c>
      <c r="C77" s="31" t="s">
        <v>79</v>
      </c>
      <c r="D77" s="44">
        <v>13196</v>
      </c>
      <c r="E77" s="45">
        <f>5643+3440</f>
        <v>9083</v>
      </c>
      <c r="F77" s="46">
        <f t="shared" si="25"/>
        <v>68.831464080024247</v>
      </c>
      <c r="G77" s="45">
        <f>5643+3440</f>
        <v>9083</v>
      </c>
      <c r="H77" s="46">
        <f t="shared" si="26"/>
        <v>68.831464080024247</v>
      </c>
      <c r="I77" s="45">
        <f>5373+2950</f>
        <v>8323</v>
      </c>
      <c r="J77" s="46">
        <f t="shared" si="27"/>
        <v>91.63272046680612</v>
      </c>
      <c r="K77" s="45">
        <v>3079</v>
      </c>
      <c r="L77" s="46">
        <f t="shared" si="32"/>
        <v>23.332828129736281</v>
      </c>
      <c r="M77" s="45">
        <v>3079</v>
      </c>
      <c r="N77" s="46">
        <f t="shared" si="33"/>
        <v>23.332828129736281</v>
      </c>
      <c r="O77" s="45">
        <v>2401</v>
      </c>
      <c r="P77" s="46">
        <f t="shared" si="34"/>
        <v>77.979863592075347</v>
      </c>
      <c r="Q77" s="47">
        <v>630</v>
      </c>
      <c r="R77" s="48">
        <v>0</v>
      </c>
      <c r="S77" s="47">
        <f t="shared" si="28"/>
        <v>630</v>
      </c>
      <c r="T77" s="49">
        <f t="shared" si="29"/>
        <v>11354</v>
      </c>
      <c r="U77" s="50">
        <f t="shared" si="30"/>
        <v>86.041224613519248</v>
      </c>
      <c r="V77" s="7">
        <f t="shared" si="31"/>
        <v>404</v>
      </c>
    </row>
    <row r="78" spans="1:22" ht="11.25" customHeight="1">
      <c r="A78" s="1">
        <v>10</v>
      </c>
      <c r="C78" s="31" t="s">
        <v>80</v>
      </c>
      <c r="D78" s="44">
        <v>4914</v>
      </c>
      <c r="E78" s="45">
        <v>4681</v>
      </c>
      <c r="F78" s="46">
        <f t="shared" si="25"/>
        <v>95.258445258445263</v>
      </c>
      <c r="G78" s="45">
        <v>4681</v>
      </c>
      <c r="H78" s="46">
        <f t="shared" si="26"/>
        <v>95.258445258445263</v>
      </c>
      <c r="I78" s="45">
        <v>4204</v>
      </c>
      <c r="J78" s="46">
        <f t="shared" si="27"/>
        <v>89.809869685964543</v>
      </c>
      <c r="K78" s="45">
        <v>146</v>
      </c>
      <c r="L78" s="46">
        <f t="shared" si="32"/>
        <v>2.9711029711029711</v>
      </c>
      <c r="M78" s="45">
        <v>146</v>
      </c>
      <c r="N78" s="46">
        <f t="shared" si="33"/>
        <v>2.9711029711029711</v>
      </c>
      <c r="O78" s="45">
        <v>115</v>
      </c>
      <c r="P78" s="46">
        <f t="shared" si="34"/>
        <v>78.767123287671239</v>
      </c>
      <c r="Q78" s="47">
        <v>75</v>
      </c>
      <c r="R78" s="48">
        <v>0</v>
      </c>
      <c r="S78" s="47">
        <f t="shared" si="28"/>
        <v>75</v>
      </c>
      <c r="T78" s="49">
        <f t="shared" si="29"/>
        <v>4394</v>
      </c>
      <c r="U78" s="50">
        <f t="shared" si="30"/>
        <v>89.417989417989418</v>
      </c>
      <c r="V78" s="7">
        <f t="shared" si="31"/>
        <v>12</v>
      </c>
    </row>
    <row r="79" spans="1:22" ht="11.25" customHeight="1">
      <c r="A79" s="1">
        <v>10</v>
      </c>
      <c r="C79" s="31" t="s">
        <v>81</v>
      </c>
      <c r="D79" s="44">
        <v>3718</v>
      </c>
      <c r="E79" s="45">
        <v>2852</v>
      </c>
      <c r="F79" s="46">
        <f t="shared" si="25"/>
        <v>76.707907477138249</v>
      </c>
      <c r="G79" s="45">
        <v>2852</v>
      </c>
      <c r="H79" s="46">
        <f t="shared" si="26"/>
        <v>76.707907477138249</v>
      </c>
      <c r="I79" s="45">
        <v>2850</v>
      </c>
      <c r="J79" s="46">
        <f t="shared" si="27"/>
        <v>99.929873772791026</v>
      </c>
      <c r="K79" s="45">
        <f>838+28</f>
        <v>866</v>
      </c>
      <c r="L79" s="46">
        <f t="shared" si="32"/>
        <v>23.292092522861754</v>
      </c>
      <c r="M79" s="45">
        <f>838+28</f>
        <v>866</v>
      </c>
      <c r="N79" s="46">
        <f t="shared" si="33"/>
        <v>23.292092522861754</v>
      </c>
      <c r="O79" s="45">
        <f>810+27</f>
        <v>837</v>
      </c>
      <c r="P79" s="46">
        <f t="shared" si="34"/>
        <v>96.651270207852193</v>
      </c>
      <c r="Q79" s="55"/>
      <c r="R79" s="56"/>
      <c r="S79" s="47">
        <f t="shared" si="28"/>
        <v>0</v>
      </c>
      <c r="T79" s="49">
        <f t="shared" si="29"/>
        <v>3687</v>
      </c>
      <c r="U79" s="50">
        <f t="shared" si="30"/>
        <v>99.166218396987631</v>
      </c>
      <c r="V79" s="7">
        <f t="shared" si="31"/>
        <v>0</v>
      </c>
    </row>
    <row r="80" spans="1:22" ht="11.25" customHeight="1">
      <c r="A80" s="1">
        <v>9</v>
      </c>
      <c r="C80" s="31" t="s">
        <v>82</v>
      </c>
      <c r="D80" s="44">
        <v>8887</v>
      </c>
      <c r="E80" s="45">
        <f>3980+44</f>
        <v>4024</v>
      </c>
      <c r="F80" s="46">
        <f t="shared" si="25"/>
        <v>45.279621919657927</v>
      </c>
      <c r="G80" s="45">
        <f>3980+44</f>
        <v>4024</v>
      </c>
      <c r="H80" s="46">
        <f t="shared" si="26"/>
        <v>45.279621919657927</v>
      </c>
      <c r="I80" s="45">
        <f>2371+34</f>
        <v>2405</v>
      </c>
      <c r="J80" s="46">
        <f t="shared" si="27"/>
        <v>59.766401590457249</v>
      </c>
      <c r="K80" s="45">
        <v>2339</v>
      </c>
      <c r="L80" s="46">
        <f t="shared" si="32"/>
        <v>26.319342860357825</v>
      </c>
      <c r="M80" s="45">
        <v>2339</v>
      </c>
      <c r="N80" s="46">
        <f t="shared" si="33"/>
        <v>26.319342860357825</v>
      </c>
      <c r="O80" s="45">
        <v>1971</v>
      </c>
      <c r="P80" s="46">
        <f t="shared" si="34"/>
        <v>84.266780675502346</v>
      </c>
      <c r="Q80" s="47">
        <v>1619</v>
      </c>
      <c r="R80" s="48">
        <v>0</v>
      </c>
      <c r="S80" s="47">
        <f t="shared" si="28"/>
        <v>1619</v>
      </c>
      <c r="T80" s="49">
        <f t="shared" si="29"/>
        <v>5995</v>
      </c>
      <c r="U80" s="50">
        <f t="shared" si="30"/>
        <v>67.458084843029141</v>
      </c>
      <c r="V80" s="7">
        <f t="shared" si="31"/>
        <v>905</v>
      </c>
    </row>
    <row r="81" spans="1:22" ht="11.25" customHeight="1">
      <c r="A81" s="1">
        <v>9</v>
      </c>
      <c r="C81" s="31" t="s">
        <v>83</v>
      </c>
      <c r="D81" s="44">
        <v>2695</v>
      </c>
      <c r="E81" s="45">
        <v>2152</v>
      </c>
      <c r="F81" s="46">
        <f t="shared" si="25"/>
        <v>79.85157699443414</v>
      </c>
      <c r="G81" s="45">
        <v>2152</v>
      </c>
      <c r="H81" s="46">
        <f t="shared" si="26"/>
        <v>79.85157699443414</v>
      </c>
      <c r="I81" s="45">
        <v>1979</v>
      </c>
      <c r="J81" s="46">
        <f t="shared" si="27"/>
        <v>91.960966542750938</v>
      </c>
      <c r="K81" s="51"/>
      <c r="L81" s="52"/>
      <c r="M81" s="51"/>
      <c r="N81" s="52"/>
      <c r="O81" s="51"/>
      <c r="P81" s="52"/>
      <c r="Q81" s="47">
        <v>299</v>
      </c>
      <c r="R81" s="48">
        <v>0</v>
      </c>
      <c r="S81" s="47">
        <f t="shared" si="28"/>
        <v>299</v>
      </c>
      <c r="T81" s="49">
        <f t="shared" si="29"/>
        <v>2278</v>
      </c>
      <c r="U81" s="50">
        <f t="shared" si="30"/>
        <v>84.526901669758814</v>
      </c>
      <c r="V81" s="7">
        <f t="shared" si="31"/>
        <v>244</v>
      </c>
    </row>
    <row r="82" spans="1:22" ht="11.25" customHeight="1">
      <c r="A82" s="1">
        <v>9</v>
      </c>
      <c r="C82" s="31" t="s">
        <v>90</v>
      </c>
      <c r="D82" s="44">
        <v>11643</v>
      </c>
      <c r="E82" s="45">
        <v>6760</v>
      </c>
      <c r="F82" s="46">
        <f t="shared" si="25"/>
        <v>58.060637292793949</v>
      </c>
      <c r="G82" s="45">
        <v>6760</v>
      </c>
      <c r="H82" s="46">
        <f t="shared" si="26"/>
        <v>58.060637292793949</v>
      </c>
      <c r="I82" s="45">
        <v>6267</v>
      </c>
      <c r="J82" s="46">
        <f t="shared" si="27"/>
        <v>92.707100591715971</v>
      </c>
      <c r="K82" s="45">
        <f>4093+36</f>
        <v>4129</v>
      </c>
      <c r="L82" s="46">
        <f t="shared" si="32"/>
        <v>35.463368547625187</v>
      </c>
      <c r="M82" s="45">
        <f>4093+36</f>
        <v>4129</v>
      </c>
      <c r="N82" s="46">
        <f t="shared" si="33"/>
        <v>35.463368547625187</v>
      </c>
      <c r="O82" s="45">
        <f>3488+36</f>
        <v>3524</v>
      </c>
      <c r="P82" s="46">
        <f t="shared" si="34"/>
        <v>85.347541777670131</v>
      </c>
      <c r="Q82" s="47">
        <v>521</v>
      </c>
      <c r="R82" s="48">
        <v>0</v>
      </c>
      <c r="S82" s="47">
        <f t="shared" si="28"/>
        <v>521</v>
      </c>
      <c r="T82" s="49">
        <f t="shared" si="29"/>
        <v>10312</v>
      </c>
      <c r="U82" s="50">
        <f t="shared" si="30"/>
        <v>88.56823842652237</v>
      </c>
      <c r="V82" s="7">
        <f t="shared" si="31"/>
        <v>233</v>
      </c>
    </row>
    <row r="83" spans="1:22" ht="11.25" customHeight="1">
      <c r="A83" s="1">
        <v>10</v>
      </c>
      <c r="C83" s="31" t="s">
        <v>84</v>
      </c>
      <c r="D83" s="44">
        <v>2034</v>
      </c>
      <c r="E83" s="53"/>
      <c r="F83" s="54"/>
      <c r="G83" s="53"/>
      <c r="H83" s="54"/>
      <c r="I83" s="53"/>
      <c r="J83" s="54"/>
      <c r="K83" s="45">
        <v>196</v>
      </c>
      <c r="L83" s="46">
        <f t="shared" si="32"/>
        <v>9.6361848574237943</v>
      </c>
      <c r="M83" s="45">
        <v>196</v>
      </c>
      <c r="N83" s="46">
        <f t="shared" si="33"/>
        <v>9.6361848574237943</v>
      </c>
      <c r="O83" s="45">
        <v>196</v>
      </c>
      <c r="P83" s="46">
        <f t="shared" si="34"/>
        <v>100</v>
      </c>
      <c r="Q83" s="47">
        <v>1471</v>
      </c>
      <c r="R83" s="48">
        <v>0</v>
      </c>
      <c r="S83" s="47">
        <f t="shared" si="28"/>
        <v>1471</v>
      </c>
      <c r="T83" s="49">
        <f t="shared" si="29"/>
        <v>1667</v>
      </c>
      <c r="U83" s="50">
        <f t="shared" si="30"/>
        <v>81.956735496558508</v>
      </c>
      <c r="V83" s="7">
        <f t="shared" si="31"/>
        <v>367</v>
      </c>
    </row>
    <row r="84" spans="1:22" ht="11.25" customHeight="1">
      <c r="C84" s="32" t="s">
        <v>114</v>
      </c>
      <c r="D84" s="57">
        <f>SUM(D7:D83)</f>
        <v>2129533</v>
      </c>
      <c r="E84" s="58">
        <f>SUM(E7:E83)</f>
        <v>1790953</v>
      </c>
      <c r="F84" s="59">
        <f>E84/$D84*100</f>
        <v>84.10073945789992</v>
      </c>
      <c r="G84" s="58">
        <f>SUM(G7:G83)</f>
        <v>1761344</v>
      </c>
      <c r="H84" s="59">
        <f>G84/$D84*100</f>
        <v>82.710340717894482</v>
      </c>
      <c r="I84" s="58">
        <f>SUM(I7:I83)</f>
        <v>1625391</v>
      </c>
      <c r="J84" s="59">
        <f>I84/$G84*100</f>
        <v>92.281292013371612</v>
      </c>
      <c r="K84" s="58">
        <f>SUM(K7:K83)</f>
        <v>191398</v>
      </c>
      <c r="L84" s="59">
        <f t="shared" si="32"/>
        <v>8.9877921591259682</v>
      </c>
      <c r="M84" s="58">
        <f>SUM(M7:M83)</f>
        <v>191398</v>
      </c>
      <c r="N84" s="59">
        <f t="shared" si="33"/>
        <v>8.9877921591259682</v>
      </c>
      <c r="O84" s="58">
        <f>SUM(O7:O83)</f>
        <v>171273</v>
      </c>
      <c r="P84" s="59">
        <f t="shared" si="34"/>
        <v>89.48526107900814</v>
      </c>
      <c r="Q84" s="60">
        <f>SUM(Q7:Q83)</f>
        <v>113928</v>
      </c>
      <c r="R84" s="60">
        <f>SUM(R7:R83)</f>
        <v>954</v>
      </c>
      <c r="S84" s="58">
        <f>SUM(S7:S83)</f>
        <v>114882</v>
      </c>
      <c r="T84" s="61">
        <f>SUM(T7:T83)</f>
        <v>1911546</v>
      </c>
      <c r="U84" s="62">
        <f t="shared" si="30"/>
        <v>89.76362423122815</v>
      </c>
      <c r="V84" s="7">
        <f t="shared" si="31"/>
        <v>32300</v>
      </c>
    </row>
    <row r="85" spans="1:22" ht="3.75" customHeight="1">
      <c r="R85" s="9"/>
      <c r="V85" s="7"/>
    </row>
    <row r="86" spans="1:22" ht="9">
      <c r="C86" s="33" t="s">
        <v>117</v>
      </c>
      <c r="J86" s="8"/>
      <c r="K86" s="8"/>
      <c r="R86" s="9"/>
      <c r="V86" s="7"/>
    </row>
    <row r="87" spans="1:22" ht="9">
      <c r="C87" s="33" t="s">
        <v>119</v>
      </c>
      <c r="R87" s="9"/>
      <c r="V87" s="7"/>
    </row>
    <row r="88" spans="1:22" ht="9">
      <c r="C88" s="33" t="s">
        <v>120</v>
      </c>
      <c r="R88" s="9"/>
      <c r="V88" s="7"/>
    </row>
    <row r="89" spans="1:22">
      <c r="R89" s="9"/>
      <c r="V89" s="7"/>
    </row>
    <row r="90" spans="1:22">
      <c r="R90" s="9"/>
      <c r="V90" s="7"/>
    </row>
    <row r="91" spans="1:22">
      <c r="R91" s="9"/>
      <c r="V91" s="7"/>
    </row>
    <row r="92" spans="1:22">
      <c r="R92" s="9"/>
      <c r="V92" s="7"/>
    </row>
    <row r="93" spans="1:22">
      <c r="R93" s="9"/>
      <c r="V93" s="7"/>
    </row>
    <row r="94" spans="1:22">
      <c r="R94" s="9"/>
      <c r="V94" s="7"/>
    </row>
    <row r="95" spans="1:22">
      <c r="R95" s="9"/>
      <c r="V95" s="7"/>
    </row>
    <row r="96" spans="1:22">
      <c r="R96" s="9"/>
      <c r="V96" s="7"/>
    </row>
    <row r="97" spans="18:22">
      <c r="R97" s="9"/>
      <c r="V97" s="7"/>
    </row>
    <row r="98" spans="18:22">
      <c r="R98" s="9"/>
      <c r="V98" s="7"/>
    </row>
    <row r="99" spans="18:22">
      <c r="R99" s="9"/>
      <c r="V99" s="7"/>
    </row>
    <row r="100" spans="18:22">
      <c r="R100" s="9"/>
      <c r="V100" s="7"/>
    </row>
    <row r="101" spans="18:22">
      <c r="R101" s="9"/>
      <c r="V101" s="7"/>
    </row>
    <row r="102" spans="18:22">
      <c r="R102" s="9"/>
      <c r="V102" s="7"/>
    </row>
    <row r="103" spans="18:22">
      <c r="R103" s="9"/>
      <c r="V103" s="7"/>
    </row>
    <row r="104" spans="18:22">
      <c r="R104" s="9"/>
      <c r="V104" s="7"/>
    </row>
    <row r="105" spans="18:22">
      <c r="R105" s="9"/>
      <c r="V105" s="7"/>
    </row>
    <row r="106" spans="18:22">
      <c r="R106" s="9"/>
      <c r="V106" s="7"/>
    </row>
    <row r="107" spans="18:22">
      <c r="R107" s="9"/>
      <c r="V107" s="7"/>
    </row>
    <row r="108" spans="18:22">
      <c r="R108" s="9"/>
      <c r="V108" s="7"/>
    </row>
    <row r="109" spans="18:22">
      <c r="R109" s="9"/>
      <c r="V109" s="7"/>
    </row>
    <row r="110" spans="18:22">
      <c r="R110" s="9"/>
      <c r="V110" s="7"/>
    </row>
    <row r="111" spans="18:22">
      <c r="R111" s="9"/>
      <c r="V111" s="7"/>
    </row>
    <row r="112" spans="18:22">
      <c r="R112" s="9"/>
      <c r="V112" s="7"/>
    </row>
    <row r="113" spans="18:22">
      <c r="R113" s="9"/>
      <c r="V113" s="7"/>
    </row>
    <row r="114" spans="18:22">
      <c r="R114" s="9"/>
      <c r="V114" s="7"/>
    </row>
    <row r="115" spans="18:22">
      <c r="R115" s="9"/>
      <c r="V115" s="7"/>
    </row>
    <row r="116" spans="18:22">
      <c r="R116" s="9"/>
      <c r="V116" s="7"/>
    </row>
    <row r="117" spans="18:22">
      <c r="R117" s="9"/>
      <c r="V117" s="7"/>
    </row>
    <row r="118" spans="18:22">
      <c r="R118" s="9"/>
      <c r="V118" s="7"/>
    </row>
    <row r="119" spans="18:22">
      <c r="V119" s="7"/>
    </row>
    <row r="120" spans="18:22">
      <c r="V120" s="7"/>
    </row>
    <row r="121" spans="18:22">
      <c r="V121" s="7"/>
    </row>
    <row r="122" spans="18:22">
      <c r="V122" s="7"/>
    </row>
    <row r="123" spans="18:22">
      <c r="V123" s="7"/>
    </row>
    <row r="124" spans="18:22">
      <c r="V124" s="7"/>
    </row>
    <row r="125" spans="18:22">
      <c r="V125" s="7"/>
    </row>
    <row r="126" spans="18:22">
      <c r="V126" s="7"/>
    </row>
    <row r="127" spans="18:22">
      <c r="V127" s="7"/>
    </row>
    <row r="128" spans="18:22">
      <c r="V128" s="7"/>
    </row>
    <row r="129" spans="22:22">
      <c r="V129" s="7"/>
    </row>
    <row r="130" spans="22:22">
      <c r="V130" s="7"/>
    </row>
    <row r="131" spans="22:22">
      <c r="V131" s="7"/>
    </row>
    <row r="132" spans="22:22">
      <c r="V132" s="7"/>
    </row>
    <row r="133" spans="22:22">
      <c r="V133" s="7"/>
    </row>
    <row r="134" spans="22:22">
      <c r="V134" s="7"/>
    </row>
  </sheetData>
  <mergeCells count="10">
    <mergeCell ref="E2:S2"/>
    <mergeCell ref="E3:J3"/>
    <mergeCell ref="K3:P3"/>
    <mergeCell ref="Q3:S3"/>
    <mergeCell ref="M4:N4"/>
    <mergeCell ref="O4:P4"/>
    <mergeCell ref="E4:F4"/>
    <mergeCell ref="G4:H4"/>
    <mergeCell ref="I4:J4"/>
    <mergeCell ref="K4:L4"/>
  </mergeCells>
  <phoneticPr fontId="2"/>
  <pageMargins left="0.78740157480314965" right="0.35433070866141736" top="0.78740157480314965" bottom="0.59055118110236227" header="0.19685039370078741" footer="0.31496062992125984"/>
  <pageSetup paperSize="9" firstPageNumber="25" orientation="portrait" useFirstPageNumber="1" r:id="rId1"/>
  <headerFooter scaleWithDoc="0" alignWithMargins="0">
    <oddFooter>&amp;C&amp;"+,標準"&amp;10- P&amp;P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P-25_印刷用</vt:lpstr>
      <vt:lpstr>'P-25_印刷用'!Print_Area</vt:lpstr>
      <vt:lpstr>'P-25_印刷用'!Print_Titles</vt:lpstr>
    </vt:vector>
  </TitlesOfParts>
  <Company>長野県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長野県</cp:lastModifiedBy>
  <cp:lastPrinted>2017-01-05T04:46:55Z</cp:lastPrinted>
  <dcterms:created xsi:type="dcterms:W3CDTF">2010-09-28T02:15:37Z</dcterms:created>
  <dcterms:modified xsi:type="dcterms:W3CDTF">2017-01-05T08:21:56Z</dcterms:modified>
</cp:coreProperties>
</file>